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8510" windowHeight="1200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B45" i="2" l="1"/>
  <c r="B44" i="2"/>
  <c r="B40" i="2"/>
  <c r="B39" i="2"/>
  <c r="C30" i="3"/>
  <c r="E40" i="2"/>
  <c r="B48" i="2" s="1"/>
  <c r="C6" i="3"/>
  <c r="B41" i="2" l="1"/>
  <c r="B46" i="2"/>
  <c r="B42" i="2"/>
  <c r="G1" i="2"/>
  <c r="H63" i="2" l="1"/>
  <c r="F63" i="2"/>
  <c r="H59" i="2"/>
  <c r="F59" i="2"/>
  <c r="H53" i="2"/>
  <c r="H54" i="2" s="1"/>
  <c r="H60" i="2" l="1"/>
  <c r="H61" i="2" s="1"/>
  <c r="H64" i="2"/>
  <c r="H65" i="2" s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99" i="1"/>
  <c r="G94" i="1"/>
  <c r="D94" i="1"/>
  <c r="K94" i="1"/>
  <c r="A100" i="1" l="1"/>
  <c r="A114" i="1"/>
  <c r="A117" i="1"/>
  <c r="A112" i="1"/>
  <c r="D110" i="1"/>
  <c r="A113" i="1"/>
  <c r="A119" i="1"/>
  <c r="A116" i="1"/>
  <c r="A123" i="1"/>
  <c r="A118" i="1"/>
  <c r="D118" i="1"/>
  <c r="A124" i="1"/>
  <c r="A120" i="1"/>
  <c r="A110" i="1"/>
  <c r="A111" i="1"/>
  <c r="F118" i="1"/>
  <c r="A121" i="1"/>
  <c r="A125" i="1"/>
  <c r="A141" i="1"/>
  <c r="A95" i="1"/>
  <c r="F134" i="1"/>
  <c r="A94" i="1"/>
  <c r="A96" i="1"/>
  <c r="A137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<sst xmlns="http://schemas.openxmlformats.org/spreadsheetml/2006/main" count="582" uniqueCount="225">
  <si>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</si>
  <si>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</si>
  <si>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</si>
  <si>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</si>
  <si>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</si>
  <si>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</si>
  <si>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</si>
  <si>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</si>
  <si>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</si>
  <si>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</si>
  <si>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</si>
  <si>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</si>
  <si>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</si>
  <si>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</si>
  <si>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</si>
  <si>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</si>
  <si>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</si>
  <si>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</si>
  <si>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</si>
  <si>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</si>
  <si>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</si>
  <si>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</si>
  <si>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</si>
  <si>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</si>
  <si>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</si>
  <si>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</si>
  <si>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</si>
  <si>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</si>
  <si>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</si>
  <si>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</si>
  <si>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</si>
  <si>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</si>
  <si>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</si>
  <si>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</si>
  <si>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</si>
  <si>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</si>
  <si>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</si>
  <si>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</si>
  <si>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</si>
  <si>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</si>
  <si>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</si>
  <si>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</si>
  <si>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</si>
  <si>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</si>
  <si>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</si>
  <si>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</si>
  <si>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</si>
  <si>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</si>
  <si>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</si>
  <si>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</si>
  <si>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</si>
  <si>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</si>
  <si>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</si>
  <si>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</si>
  <si>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</si>
  <si>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</si>
  <si>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</si>
  <si>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</si>
  <si>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</si>
  <si>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</si>
  <si>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</si>
  <si>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</si>
  <si>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</si>
  <si>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</si>
  <si>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</si>
  <si>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</si>
  <si>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</si>
  <si>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</si>
  <si>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</si>
  <si>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</si>
  <si>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</si>
  <si>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</si>
  <si>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</si>
  <si>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</si>
  <si>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</si>
  <si>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</si>
  <si>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</si>
  <si>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</si>
  <si>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</si>
  <si>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</si>
  <si>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</si>
  <si>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</si>
  <si>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</si>
  <si>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</si>
  <si>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</si>
  <si>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</si>
  <si>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</si>
  <si>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</si>
  <si>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</si>
  <si>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</si>
  <si>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</si>
  <si>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</si>
  <si>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</si>
  <si>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</si>
  <si>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</si>
  <si>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</si>
  <si>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</si>
  <si>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</si>
  <si>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</si>
  <si>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</si>
  <si>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</si>
  <si>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</si>
  <si>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</si>
  <si>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</si>
  <si>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</si>
  <si>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</si>
  <si>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</si>
  <si>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</si>
  <si>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</si>
  <si>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</si>
  <si>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</si>
  <si>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</si>
  <si>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</si>
  <si>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</si>
  <si>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</si>
  <si>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</si>
  <si>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</si>
  <si>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</si>
  <si>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</si>
  <si>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</si>
  <si>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</si>
  <si>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</si>
  <si>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</si>
  <si>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</si>
  <si>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</si>
  <si>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</si>
  <si>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</si>
  <si>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</si>
  <si>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</si>
  <si>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</si>
  <si>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</si>
  <si>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</si>
  <si>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</si>
  <si>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</si>
  <si>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</si>
  <si>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</si>
  <si>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</si>
  <si>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</si>
  <si>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</si>
  <si>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</si>
  <si>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</si>
  <si>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</si>
  <si>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</si>
  <si>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</si>
  <si>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</si>
  <si>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</si>
  <si>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</si>
  <si>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</si>
  <si>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</si>
  <si>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</si>
  <si>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</si>
  <si>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</si>
  <si>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</si>
  <si>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</si>
  <si>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</si>
  <si>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</si>
  <si>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</si>
  <si>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</si>
  <si>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</si>
  <si>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</si>
  <si>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</si>
  <si>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</si>
  <si>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</si>
  <si>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</si>
  <si>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</si>
  <si>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</si>
  <si>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</si>
  <si>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</si>
  <si>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</si>
  <si>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</si>
  <si>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</si>
  <si>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</si>
  <si>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</si>
  <si>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</si>
  <si>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</si>
  <si>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</si>
  <si>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</si>
  <si>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</si>
  <si>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</si>
  <si>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</si>
  <si>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</si>
  <si>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</si>
  <si>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</si>
  <si>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</si>
  <si>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</si>
  <si>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317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</si>
  <si>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</si>
  <si>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</si>
  <si>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</si>
  <si>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</si>
  <si>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</si>
  <si>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</si>
  <si>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</si>
  <si>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</si>
  <si>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</si>
  <si>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</si>
  <si>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</si>
  <si>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</si>
  <si>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</si>
  <si>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</si>
  <si>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Приобретение и монтаж дверных доводчиков (8 шт.).</t>
  </si>
  <si>
    <t>разово</t>
  </si>
  <si>
    <t>Приобретение и замена контейнеров для ТКО (3 шт.).</t>
  </si>
  <si>
    <t>Испытание пожарных кранов (32 шт.).</t>
  </si>
  <si>
    <t>Приобретение и замена общедомового прибора учета холодного водоснабжения.</t>
  </si>
  <si>
    <t>Благоустройство придомовой территории (срезка и вывоз поврежденного асфальтобетона).</t>
  </si>
  <si>
    <t>АВР 1/22 от 15.06.2022, Решение, счет №201 от 02.03.2022</t>
  </si>
  <si>
    <t>АВР 2/22 от 15.06.2022, Решение, счет №4243 от 05.04.2022</t>
  </si>
  <si>
    <t>АВР 3/22 от 15.06.2022, Решение, счет №4981 от 20.04.2022</t>
  </si>
  <si>
    <t>АВР 4/22 от 15.06.2022, Решение, счет №5528 от 26.04.2022</t>
  </si>
  <si>
    <t>Замена кнопочного модуля (кнопка закрывания кабины лифта).</t>
  </si>
  <si>
    <t>Приобретение и монтаж противоскользящей ленты.</t>
  </si>
  <si>
    <t>АВР 9/22 от 09.12.2022</t>
  </si>
  <si>
    <t>АВР 8/22 от 09.12.2022</t>
  </si>
  <si>
    <t>АВР 7/22 от 09.12.2022, Решение, счет №1316 от 08.11.2022</t>
  </si>
  <si>
    <t>АВР 6/22 от 09.12.2022, счет №213 от 05.04.2022</t>
  </si>
  <si>
    <t>АВР 5/22 от 09.12.2022, Решение, счет №2324 от 13.04.2022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</si>
  <si>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</si>
  <si>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изготовление, монтаж металлических панелей для закрытия сейсмопоясов МКД</t>
  </si>
  <si>
    <t xml:space="preserve">  -  замена светильников на лестничной клетке</t>
  </si>
  <si>
    <t xml:space="preserve">  -  устройство водоотвода от крыльца через тротуар на проезжую часть</t>
  </si>
  <si>
    <t xml:space="preserve">  -  монтаж уличных светодиодных светильников за домами 1-ой очереди (3 шт.)</t>
  </si>
  <si>
    <t xml:space="preserve">  -  ремонт незадымляемых переходов</t>
  </si>
  <si>
    <t xml:space="preserve">  -  замена проходной двери лестничного марша (цокольный этаж)</t>
  </si>
  <si>
    <t>охрана в содержании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</si>
</sst>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8" fillId="0" borderId="0" xfId="5" applyFill="1" applyBorder="1" applyAlignment="1">
      <alignment horizontal="center"/>
    </xf>
    <xf numFmtId="4" fontId="18" fillId="0" borderId="0" xfId="5" applyNumberFormat="1" applyFill="1" applyBorder="1" applyAlignment="1"/>
    <xf numFmtId="0" fontId="32" fillId="0" borderId="0" xfId="5" applyFont="1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8" fillId="0" borderId="0" xfId="5" applyFill="1" applyBorder="1" applyAlignment="1"/>
    <xf numFmtId="1" fontId="18" fillId="0" borderId="0" xfId="5" applyNumberFormat="1" applyFill="1" applyBorder="1" applyAlignment="1">
      <alignment horizontal="center"/>
    </xf>
    <xf numFmtId="0" fontId="42" fillId="0" borderId="0" xfId="5" applyFont="1" applyFill="1" applyBorder="1" applyAlignment="1">
      <alignment wrapText="1"/>
    </xf>
    <xf numFmtId="0" fontId="42" fillId="0" borderId="0" xfId="5" applyFont="1" applyFill="1" applyBorder="1" applyAlignment="1"/>
    <xf numFmtId="0" fontId="0" fillId="0" borderId="0" xfId="0" applyFill="1"/>
    <xf numFmtId="4" fontId="3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8" fillId="0" borderId="0" xfId="5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7" fillId="0" borderId="0" xfId="6" applyFill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4" fontId="32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16" fillId="0" borderId="0" xfId="2" applyFont="1" applyFill="1" applyBorder="1" applyAlignment="1"/>
    <xf numFmtId="0" fontId="15" fillId="0" borderId="0" xfId="2" applyFont="1" applyFill="1" applyBorder="1" applyAlignment="1"/>
    <xf numFmtId="0" fontId="0" fillId="0" borderId="0" xfId="0" applyFill="1"/>
    <xf numFmtId="0" fontId="10" fillId="0" borderId="0" xfId="5" applyFont="1" applyFill="1" applyBorder="1" applyAlignment="1"/>
    <xf numFmtId="0" fontId="10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4" fillId="3" borderId="0" xfId="57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32" fillId="0" borderId="0" xfId="5" applyNumberFormat="1" applyFont="1" applyFill="1" applyBorder="1" applyAlignment="1">
      <alignment horizontal="left"/>
    </xf>
    <xf numFmtId="0" fontId="7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2" fillId="0" borderId="0" xfId="44" applyFont="1" applyFill="1" applyBorder="1" applyAlignment="1">
      <alignment wrapText="1"/>
    </xf>
    <xf numFmtId="0" fontId="8" fillId="0" borderId="0" xfId="44" applyFont="1" applyFill="1" applyBorder="1" applyAlignment="1">
      <alignment horizontal="center"/>
    </xf>
    <xf numFmtId="0" fontId="11" fillId="0" borderId="0" xfId="44" applyFill="1" applyBorder="1" applyAlignment="1">
      <alignment horizontal="center"/>
    </xf>
    <xf numFmtId="4" fontId="32" fillId="0" borderId="0" xfId="44" applyNumberFormat="1" applyFont="1" applyFill="1" applyBorder="1" applyAlignment="1"/>
    <xf numFmtId="0" fontId="5" fillId="0" borderId="0" xfId="82" applyFon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" fillId="0" borderId="0" xfId="8" applyFont="1" applyFill="1"/>
    <xf numFmtId="0" fontId="3" fillId="0" borderId="0" xfId="24" applyFont="1" applyFill="1" applyBorder="1" applyAlignment="1"/>
    <xf numFmtId="0" fontId="6" fillId="0" borderId="0" xfId="6" applyFont="1" applyFill="1" applyBorder="1" applyAlignment="1">
      <alignment horizontal="center"/>
    </xf>
    <xf numFmtId="4" fontId="24" fillId="0" borderId="0" xfId="0" applyNumberFormat="1" applyFont="1" applyFill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94">
    <cellStyle name="Обычный" xfId="0" builtinId="0"/>
    <cellStyle name="Обычный 2" xfId="1"/>
    <cellStyle name="Обычный 2 2" xfId="3"/>
    <cellStyle name="Обычный 2 3" xfId="8"/>
    <cellStyle name="Обычный 2 3 2" xfId="33"/>
    <cellStyle name="Обычный 2 3 2 2" xfId="56"/>
    <cellStyle name="Обычный 2 3 2 3" xfId="77"/>
    <cellStyle name="Обычный 2 3 3" xfId="26"/>
    <cellStyle name="Обычный 2 3 3 2" xfId="63"/>
    <cellStyle name="Обычный 2 3 3 3" xfId="84"/>
    <cellStyle name="Обычный 2 3 4" xfId="14"/>
    <cellStyle name="Обычный 2 3 4 2" xfId="91"/>
    <cellStyle name="Обычный 2 3 5" xfId="40"/>
    <cellStyle name="Обычный 2 3 6" xfId="47"/>
    <cellStyle name="Обычный 2 3 7" xfId="70"/>
    <cellStyle name="Обычный 2 4" xfId="27"/>
    <cellStyle name="Обычный 2 4 2" xfId="50"/>
    <cellStyle name="Обычный 2 4 3" xfId="71"/>
    <cellStyle name="Обычный 2 5" xfId="20"/>
    <cellStyle name="Обычный 2 5 2" xfId="57"/>
    <cellStyle name="Обычный 2 5 3" xfId="78"/>
    <cellStyle name="Обычный 2 6" xfId="9"/>
    <cellStyle name="Обычный 2 6 2" xfId="85"/>
    <cellStyle name="Обычный 2 7" xfId="34"/>
    <cellStyle name="Обычный 2 8" xfId="41"/>
    <cellStyle name="Обычный 2 9" xfId="64"/>
    <cellStyle name="Обычный 3" xfId="2"/>
    <cellStyle name="Обычный 3 2" xfId="15"/>
    <cellStyle name="Обычный 3 2 2" xfId="28"/>
    <cellStyle name="Обычный 3 2 3" xfId="51"/>
    <cellStyle name="Обычный 3 2 4" xfId="72"/>
    <cellStyle name="Обычный 3 3" xfId="21"/>
    <cellStyle name="Обычный 3 3 2" xfId="58"/>
    <cellStyle name="Обычный 3 3 3" xfId="79"/>
    <cellStyle name="Обычный 3 4" xfId="10"/>
    <cellStyle name="Обычный 3 4 2" xfId="86"/>
    <cellStyle name="Обычный 3 5" xfId="35"/>
    <cellStyle name="Обычный 3 6" xfId="42"/>
    <cellStyle name="Обычный 3 6 2" xfId="92"/>
    <cellStyle name="Обычный 3 7" xfId="65"/>
    <cellStyle name="Обычный 4" xfId="4"/>
    <cellStyle name="Обычный 4 2" xfId="6"/>
    <cellStyle name="Обычный 4 2 2" xfId="18"/>
    <cellStyle name="Обычный 4 2 2 2" xfId="31"/>
    <cellStyle name="Обычный 4 2 2 3" xfId="49"/>
    <cellStyle name="Обычный 4 2 2 4" xfId="75"/>
    <cellStyle name="Обычный 4 2 3" xfId="24"/>
    <cellStyle name="Обычный 4 2 3 2" xfId="54"/>
    <cellStyle name="Обычный 4 2 3 2 2" xfId="93"/>
    <cellStyle name="Обычный 4 2 3 3" xfId="82"/>
    <cellStyle name="Обычный 4 2 4" xfId="13"/>
    <cellStyle name="Обычный 4 2 4 2" xfId="61"/>
    <cellStyle name="Обычный 4 2 4 3" xfId="89"/>
    <cellStyle name="Обычный 4 2 5" xfId="38"/>
    <cellStyle name="Обычный 4 2 6" xfId="45"/>
    <cellStyle name="Обычный 4 2 7" xfId="68"/>
    <cellStyle name="Обычный 4 3" xfId="16"/>
    <cellStyle name="Обычный 4 3 2" xfId="29"/>
    <cellStyle name="Обычный 4 3 3" xfId="52"/>
    <cellStyle name="Обычный 4 3 4" xfId="73"/>
    <cellStyle name="Обычный 4 4" xfId="22"/>
    <cellStyle name="Обычный 4 4 2" xfId="59"/>
    <cellStyle name="Обычный 4 4 3" xfId="80"/>
    <cellStyle name="Обычный 4 5" xfId="11"/>
    <cellStyle name="Обычный 4 5 2" xfId="87"/>
    <cellStyle name="Обычный 4 6" xfId="36"/>
    <cellStyle name="Обычный 4 7" xfId="43"/>
    <cellStyle name="Обычный 4 8" xfId="66"/>
    <cellStyle name="Обычный 5" xfId="5"/>
    <cellStyle name="Обычный 5 2" xfId="17"/>
    <cellStyle name="Обычный 5 2 2" xfId="30"/>
    <cellStyle name="Обычный 5 2 3" xfId="48"/>
    <cellStyle name="Обычный 5 2 4" xfId="74"/>
    <cellStyle name="Обычный 5 3" xfId="7"/>
    <cellStyle name="Обычный 5 3 2" xfId="32"/>
    <cellStyle name="Обычный 5 3 2 2" xfId="55"/>
    <cellStyle name="Обычный 5 3 2 3" xfId="76"/>
    <cellStyle name="Обычный 5 3 3" xfId="25"/>
    <cellStyle name="Обычный 5 3 3 2" xfId="62"/>
    <cellStyle name="Обычный 5 3 3 3" xfId="83"/>
    <cellStyle name="Обычный 5 3 4" xfId="19"/>
    <cellStyle name="Обычный 5 3 4 2" xfId="90"/>
    <cellStyle name="Обычный 5 3 5" xfId="39"/>
    <cellStyle name="Обычный 5 3 6" xfId="46"/>
    <cellStyle name="Обычный 5 3 7" xfId="69"/>
    <cellStyle name="Обычный 5 4" xfId="23"/>
    <cellStyle name="Обычный 5 4 2" xfId="53"/>
    <cellStyle name="Обычный 5 4 3" xfId="81"/>
    <cellStyle name="Обычный 5 5" xfId="12"/>
    <cellStyle name="Обычный 5 5 2" xfId="60"/>
    <cellStyle name="Обычный 5 5 3" xfId="88"/>
    <cellStyle name="Обычный 5 6" xfId="37"/>
    <cellStyle name="Обычный 5 7" xfId="44"/>
    <cellStyle name="Обычный 5 8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I201" sqref="I20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2" t="s">
        <v>1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9"/>
      <c r="L8" s="186"/>
      <c r="M8" s="109"/>
      <c r="N8" s="109"/>
      <c r="O8" s="70" t="s">
        <v>81</v>
      </c>
      <c r="R8" s="16"/>
    </row>
    <row r="9" spans="1:18" ht="18.75" customHeight="1" outlineLevel="1">
      <c r="A9" s="182" t="s">
        <v>2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9"/>
      <c r="L9" s="186"/>
      <c r="M9" s="109"/>
      <c r="N9" s="109"/>
      <c r="O9" s="70" t="s">
        <v>82</v>
      </c>
    </row>
    <row r="10" spans="1:18" ht="18.75" customHeight="1" outlineLevel="1">
      <c r="A10" s="182" t="s">
        <v>3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2269811.3199999998</v>
      </c>
      <c r="K10" s="109"/>
      <c r="L10" s="186"/>
      <c r="M10" s="109"/>
      <c r="N10" s="109"/>
      <c r="O10" s="70" t="s">
        <v>83</v>
      </c>
    </row>
    <row r="11" spans="1:18" outlineLevel="1">
      <c r="A11" s="182" t="s">
        <v>4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1720604.1600000001</v>
      </c>
      <c r="K11" s="109"/>
      <c r="L11" s="186"/>
      <c r="M11" s="109"/>
      <c r="N11" s="109"/>
      <c r="O11" s="70" t="s">
        <v>84</v>
      </c>
    </row>
    <row r="12" spans="1:18" ht="18.75" customHeight="1" outlineLevel="1">
      <c r="A12" s="182" t="s">
        <v>5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1535592.9600000002</v>
      </c>
      <c r="K12" s="109"/>
      <c r="L12" s="186"/>
      <c r="M12" s="109"/>
      <c r="N12" s="109"/>
      <c r="O12" s="70" t="s">
        <v>85</v>
      </c>
    </row>
    <row r="13" spans="1:18" ht="18.75" customHeight="1" outlineLevel="1">
      <c r="A13" s="182" t="s">
        <v>6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185011.20000000001</v>
      </c>
      <c r="K13" s="109"/>
      <c r="L13" s="186"/>
      <c r="M13" s="109"/>
      <c r="N13" s="109"/>
      <c r="O13" s="70" t="s">
        <v>86</v>
      </c>
    </row>
    <row r="14" spans="1:18" ht="18.75" customHeight="1" outlineLevel="1">
      <c r="A14" s="182" t="s">
        <v>7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0</v>
      </c>
      <c r="K14" s="109"/>
      <c r="L14" s="186"/>
      <c r="M14" s="109"/>
      <c r="N14" s="109"/>
      <c r="O14" s="70" t="s">
        <v>87</v>
      </c>
    </row>
    <row r="15" spans="1:18" ht="18.75" customHeight="1" outlineLevel="1">
      <c r="A15" s="182" t="s">
        <v>8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1675190.7899999991</v>
      </c>
      <c r="K15" s="109"/>
      <c r="L15" s="186"/>
      <c r="M15" s="109"/>
      <c r="N15" s="109"/>
      <c r="O15" s="70" t="s">
        <v>88</v>
      </c>
    </row>
    <row r="16" spans="1:18" ht="18.75" customHeight="1" outlineLevel="1">
      <c r="A16" s="182" t="s">
        <v>9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1675190.7899999991</v>
      </c>
      <c r="K16" s="109"/>
      <c r="L16" s="186"/>
      <c r="M16" s="109"/>
      <c r="N16" s="109"/>
      <c r="O16" s="70" t="s">
        <v>89</v>
      </c>
    </row>
    <row r="17" spans="1:23" ht="18.75" customHeight="1" outlineLevel="1">
      <c r="A17" s="182" t="s">
        <v>10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9"/>
      <c r="L17" s="186"/>
      <c r="M17" s="109"/>
      <c r="N17" s="109"/>
      <c r="O17" s="70" t="s">
        <v>90</v>
      </c>
    </row>
    <row r="18" spans="1:23" ht="18.75" customHeight="1" outlineLevel="1">
      <c r="A18" s="182" t="s">
        <v>11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9"/>
      <c r="L18" s="186"/>
      <c r="M18" s="109"/>
      <c r="N18" s="109"/>
      <c r="O18" s="70" t="s">
        <v>91</v>
      </c>
    </row>
    <row r="19" spans="1:23" ht="18.75" customHeight="1" outlineLevel="1">
      <c r="A19" s="182" t="s">
        <v>12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9"/>
      <c r="L19" s="186"/>
      <c r="M19" s="109"/>
      <c r="N19" s="109"/>
      <c r="O19" s="70" t="s">
        <v>92</v>
      </c>
    </row>
    <row r="20" spans="1:23" ht="18.75" customHeight="1" outlineLevel="1">
      <c r="A20" s="182" t="s">
        <v>13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9"/>
      <c r="L20" s="186"/>
      <c r="M20" s="109"/>
      <c r="N20" s="109"/>
      <c r="O20" s="70" t="s">
        <v>93</v>
      </c>
    </row>
    <row r="21" spans="1:23" ht="18.75" customHeight="1" outlineLevel="1">
      <c r="A21" s="182" t="s">
        <v>14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1675190.7899999991</v>
      </c>
      <c r="K21" s="109"/>
      <c r="L21" s="186"/>
      <c r="M21" s="109"/>
      <c r="N21" s="109"/>
      <c r="O21" s="70" t="s">
        <v>94</v>
      </c>
    </row>
    <row r="22" spans="1:23" ht="18.75" customHeight="1" outlineLevel="1">
      <c r="A22" s="182" t="s">
        <v>15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9"/>
      <c r="L22" s="186"/>
      <c r="M22" s="109"/>
      <c r="N22" s="109"/>
      <c r="O22" s="70" t="s">
        <v>95</v>
      </c>
    </row>
    <row r="23" spans="1:23" ht="18.75" customHeight="1" outlineLevel="1">
      <c r="A23" s="182" t="s">
        <v>16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9"/>
      <c r="L23" s="186"/>
      <c r="M23" s="109"/>
      <c r="N23" s="109"/>
      <c r="O23" s="70" t="s">
        <v>96</v>
      </c>
    </row>
    <row r="24" spans="1:23" ht="18.75" customHeight="1" outlineLevel="1">
      <c r="A24" s="182" t="s">
        <v>17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2315224.6900000009</v>
      </c>
      <c r="K24" s="109"/>
      <c r="L24" s="18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9" t="s">
        <v>18</v>
      </c>
      <c r="B27" s="169"/>
      <c r="C27" s="169"/>
      <c r="D27" s="169"/>
      <c r="E27" s="169"/>
      <c r="F27" s="169" t="s">
        <v>19</v>
      </c>
      <c r="G27" s="169"/>
      <c r="H27" s="5" t="s">
        <v>56</v>
      </c>
      <c r="I27" s="169" t="s">
        <v>20</v>
      </c>
      <c r="J27" s="169"/>
      <c r="K27" s="109"/>
      <c r="L27" s="18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588335.61600000004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170210.304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7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42552.576000000001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111006.71999999999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7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72154.368000000002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159109.63200000001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3"/>
      <c r="C35" s="163"/>
      <c r="D35" s="163"/>
      <c r="E35" s="163"/>
      <c r="F35" s="164">
        <f>VLOOKUP(A35,ПТО!$A$39:$D$53,2,FALSE)</f>
        <v>369097.34400000004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7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4" t="e">
        <f>VLOOKUP(A36,ПТО!$A$39:$D$53,2,FALSE)</f>
        <v>#N/A</v>
      </c>
      <c r="G36" s="164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7"/>
      <c r="M36" s="115"/>
      <c r="N36" s="109"/>
      <c r="O36" s="23">
        <f t="shared" si="1"/>
        <v>0</v>
      </c>
      <c r="R36" s="1" t="s">
        <v>70</v>
      </c>
    </row>
    <row r="37" spans="1:18" ht="51" customHeight="1" outlineLevel="1">
      <c r="A37" s="163" t="str">
        <f>ПТО!A48</f>
        <v>Обслуживание пожарной сигнализации</v>
      </c>
      <c r="B37" s="163"/>
      <c r="C37" s="163"/>
      <c r="D37" s="163"/>
      <c r="E37" s="163"/>
      <c r="F37" s="164">
        <f>VLOOKUP(A37,ПТО!$A$39:$D$53,2,FALSE)</f>
        <v>23126.400000000001</v>
      </c>
      <c r="G37" s="164"/>
      <c r="H37" s="42" t="str">
        <f>VLOOKUP(A37,ПТО!$A$39:$D$53,3,FALSE)</f>
        <v>Ежемесячно</v>
      </c>
      <c r="I37" s="165">
        <f>VLOOKUP(A37,ПТО!$A$39:$D$53,4,FALSE)</f>
        <v>12</v>
      </c>
      <c r="J37" s="165"/>
      <c r="K37" s="109"/>
      <c r="L37" s="187"/>
      <c r="M37" s="115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7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7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7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7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7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обслуживание системы видеонаблюдения.</v>
      </c>
      <c r="B43" s="163"/>
      <c r="C43" s="163"/>
      <c r="D43" s="163"/>
      <c r="E43" s="163"/>
      <c r="F43" s="164">
        <f>VLOOKUP(A43,ПТО!$A$2:$D$31,4,FALSE)</f>
        <v>14820</v>
      </c>
      <c r="G43" s="164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9"/>
      <c r="L43" s="187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4">
        <f>VLOOKUP(A44,ПТО!$A$2:$D$31,4,FALSE)</f>
        <v>16200</v>
      </c>
      <c r="G44" s="164"/>
      <c r="H44" s="25" t="str">
        <f>VLOOKUP(A44,ПТО!$A$2:$D$31,2,FALSE)</f>
        <v>ежегодно</v>
      </c>
      <c r="I44" s="165">
        <f>VLOOKUP(A44,ПТО!$A$2:$D$31,3,FALSE)</f>
        <v>2</v>
      </c>
      <c r="J44" s="165"/>
      <c r="K44" s="109"/>
      <c r="L44" s="187"/>
      <c r="M44" s="115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63" t="str">
        <f>ПТО!A4</f>
        <v>Приобретение и замена контейнеров для ТКО (3 шт.).</v>
      </c>
      <c r="B45" s="163"/>
      <c r="C45" s="163"/>
      <c r="D45" s="163"/>
      <c r="E45" s="163"/>
      <c r="F45" s="164">
        <f>VLOOKUP(A45,ПТО!$A$2:$D$31,4,FALSE)</f>
        <v>10200.6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7"/>
      <c r="M45" s="115"/>
      <c r="N45" s="109"/>
      <c r="O45" s="23" t="str">
        <f t="shared" si="1"/>
        <v>Приобретение и замена контейнеров для ТКО (3 шт.).</v>
      </c>
      <c r="R45" s="22" t="s">
        <v>71</v>
      </c>
    </row>
    <row r="46" spans="1:18" ht="51" customHeight="1" outlineLevel="1">
      <c r="A46" s="163" t="str">
        <f>ПТО!A5</f>
        <v>Приобретение и монтаж дверных доводчиков (8 шт.).</v>
      </c>
      <c r="B46" s="163"/>
      <c r="C46" s="163"/>
      <c r="D46" s="163"/>
      <c r="E46" s="163"/>
      <c r="F46" s="164">
        <f>VLOOKUP(A46,ПТО!$A$2:$D$31,4,FALSE)</f>
        <v>10932.32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7"/>
      <c r="M46" s="115"/>
      <c r="N46" s="109"/>
      <c r="O46" s="23" t="str">
        <f t="shared" si="1"/>
        <v>Приобретение и монтаж дверных доводчиков (8 шт.).</v>
      </c>
      <c r="R46" s="22" t="s">
        <v>71</v>
      </c>
    </row>
    <row r="47" spans="1:18" ht="51" customHeight="1" outlineLevel="1">
      <c r="A47" s="163" t="str">
        <f>ПТО!A6</f>
        <v>Приобретение и замена общедомового прибора учета холодного водоснабжения.</v>
      </c>
      <c r="B47" s="163"/>
      <c r="C47" s="163"/>
      <c r="D47" s="163"/>
      <c r="E47" s="163"/>
      <c r="F47" s="164">
        <f>VLOOKUP(A47,ПТО!$A$2:$D$31,4,FALSE)</f>
        <v>6046.9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7"/>
      <c r="M47" s="115"/>
      <c r="N47" s="109"/>
      <c r="O47" s="23" t="str">
        <f t="shared" si="1"/>
        <v>Приобретение и замена общедомового прибора учета холодного водоснабжения.</v>
      </c>
      <c r="R47" s="22" t="s">
        <v>71</v>
      </c>
    </row>
    <row r="48" spans="1:18" ht="51" customHeight="1" outlineLevel="1">
      <c r="A48" s="163" t="str">
        <f>ПТО!A7</f>
        <v>Благоустройство придомовой территории (срезка и вывоз поврежденного асфальтобетона).</v>
      </c>
      <c r="B48" s="163"/>
      <c r="C48" s="163"/>
      <c r="D48" s="163"/>
      <c r="E48" s="163"/>
      <c r="F48" s="164">
        <f>VLOOKUP(A48,ПТО!$A$2:$D$31,4,FALSE)</f>
        <v>2584.4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7"/>
      <c r="M48" s="115"/>
      <c r="N48" s="109"/>
      <c r="O48" s="23" t="str">
        <f t="shared" si="1"/>
        <v>Благоустройство придомовой территории (срезка и вывоз поврежденного асфальтобетона).</v>
      </c>
      <c r="R48" s="22" t="s">
        <v>71</v>
      </c>
    </row>
    <row r="49" spans="1:18" ht="51" customHeight="1" outlineLevel="1">
      <c r="A49" s="163" t="str">
        <f>ПТО!A8</f>
        <v>Испытание пожарных кранов (32 шт.).</v>
      </c>
      <c r="B49" s="163"/>
      <c r="C49" s="163"/>
      <c r="D49" s="163"/>
      <c r="E49" s="163"/>
      <c r="F49" s="164">
        <f>VLOOKUP(A49,ПТО!$A$2:$D$31,4,FALSE)</f>
        <v>8000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7"/>
      <c r="M49" s="115"/>
      <c r="N49" s="109"/>
      <c r="O49" s="23" t="str">
        <f t="shared" si="1"/>
        <v>Испытание пожарных кранов (32 шт.).</v>
      </c>
      <c r="R49" s="22" t="s">
        <v>71</v>
      </c>
    </row>
    <row r="50" spans="1:18" ht="51" customHeight="1" outlineLevel="1">
      <c r="A50" s="163" t="str">
        <f>ПТО!A9</f>
        <v>Замена кнопочного модуля (кнопка закрывания кабины лифта).</v>
      </c>
      <c r="B50" s="163"/>
      <c r="C50" s="163"/>
      <c r="D50" s="163"/>
      <c r="E50" s="163"/>
      <c r="F50" s="164">
        <f>VLOOKUP(A50,ПТО!$A$2:$D$31,4,FALSE)</f>
        <v>1969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7"/>
      <c r="M50" s="115"/>
      <c r="N50" s="109"/>
      <c r="O50" s="23" t="str">
        <f t="shared" si="1"/>
        <v>Замена кнопочного модуля (кнопка закрывания кабины лифта).</v>
      </c>
      <c r="R50" s="22" t="s">
        <v>71</v>
      </c>
    </row>
    <row r="51" spans="1:18" ht="51" customHeight="1" outlineLevel="1">
      <c r="A51" s="163" t="str">
        <f>ПТО!A10</f>
        <v>Приобретение и монтаж противоскользящей ленты.</v>
      </c>
      <c r="B51" s="163"/>
      <c r="C51" s="163"/>
      <c r="D51" s="163"/>
      <c r="E51" s="163"/>
      <c r="F51" s="164">
        <f>VLOOKUP(A51,ПТО!$A$2:$D$31,4,FALSE)</f>
        <v>6000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7"/>
      <c r="M51" s="115"/>
      <c r="N51" s="109"/>
      <c r="O51" s="23" t="str">
        <f t="shared" si="1"/>
        <v>Приобретение и монтаж противоскользящей ленты.</v>
      </c>
      <c r="R51" s="22" t="s">
        <v>71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4" t="e">
        <f>VLOOKUP(A52,ПТО!$A$2:$D$31,4,FALSE)</f>
        <v>#N/A</v>
      </c>
      <c r="G52" s="164"/>
      <c r="H52" s="25" t="e">
        <f>VLOOKUP(A52,ПТО!$A$2:$D$31,2,FALSE)</f>
        <v>#N/A</v>
      </c>
      <c r="I52" s="165" t="e">
        <f>VLOOKUP(A52,ПТО!$A$2:$D$31,3,FALSE)</f>
        <v>#N/A</v>
      </c>
      <c r="J52" s="165"/>
      <c r="K52" s="109"/>
      <c r="L52" s="187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4" t="e">
        <f>VLOOKUP(A53,ПТО!$A$2:$D$31,4,FALSE)</f>
        <v>#N/A</v>
      </c>
      <c r="G53" s="164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7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4" t="e">
        <f>VLOOKUP(A54,ПТО!$A$2:$D$31,4,FALSE)</f>
        <v>#N/A</v>
      </c>
      <c r="G54" s="164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7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4" t="e">
        <f>VLOOKUP(A55,ПТО!$A$2:$D$31,4,FALSE)</f>
        <v>#N/A</v>
      </c>
      <c r="G55" s="164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7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4" t="e">
        <f>VLOOKUP(A56,ПТО!$A$2:$D$31,4,FALSE)</f>
        <v>#N/A</v>
      </c>
      <c r="G56" s="164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7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7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7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7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7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7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7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7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7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7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7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7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7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7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7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5"/>
      <c r="L71" s="187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7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1" t="s">
        <v>26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70"/>
      <c r="M75" s="109"/>
      <c r="N75" s="109"/>
      <c r="O75" s="70" t="s">
        <v>98</v>
      </c>
    </row>
    <row r="76" spans="1:16384" ht="18.75" customHeight="1" outlineLevel="1">
      <c r="A76" s="181" t="s">
        <v>27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70"/>
      <c r="M76" s="109"/>
      <c r="N76" s="109"/>
      <c r="O76" s="70" t="s">
        <v>99</v>
      </c>
    </row>
    <row r="77" spans="1:16384" ht="21.75" customHeight="1" outlineLevel="1">
      <c r="A77" s="181" t="s">
        <v>28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70"/>
      <c r="M77" s="109"/>
      <c r="N77" s="109"/>
      <c r="O77" s="70" t="s">
        <v>100</v>
      </c>
    </row>
    <row r="78" spans="1:16384" ht="18.75" customHeight="1" outlineLevel="1">
      <c r="A78" s="181" t="s">
        <v>29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7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1" t="s">
        <v>1</v>
      </c>
      <c r="B81" s="171"/>
      <c r="C81" s="171"/>
      <c r="D81" s="171"/>
      <c r="E81" s="171"/>
      <c r="F81" s="171"/>
      <c r="G81" s="171"/>
      <c r="H81" s="171"/>
      <c r="I81" s="171"/>
      <c r="J81" s="97">
        <f t="shared" ref="J81:J90" si="2">VLOOKUP(O81,АО,3,FALSE)</f>
        <v>0</v>
      </c>
      <c r="K81" s="109"/>
      <c r="L81" s="188"/>
      <c r="M81" s="109"/>
      <c r="N81" s="109"/>
      <c r="O81" s="70" t="s">
        <v>102</v>
      </c>
    </row>
    <row r="82" spans="1:15" outlineLevel="1">
      <c r="A82" s="171" t="s">
        <v>2</v>
      </c>
      <c r="B82" s="171"/>
      <c r="C82" s="171"/>
      <c r="D82" s="171"/>
      <c r="E82" s="171"/>
      <c r="F82" s="171"/>
      <c r="G82" s="171"/>
      <c r="H82" s="171"/>
      <c r="I82" s="171"/>
      <c r="J82" s="97">
        <f t="shared" si="2"/>
        <v>0</v>
      </c>
      <c r="K82" s="109"/>
      <c r="L82" s="188"/>
      <c r="M82" s="109"/>
      <c r="N82" s="109"/>
      <c r="O82" s="70" t="s">
        <v>103</v>
      </c>
    </row>
    <row r="83" spans="1:15" outlineLevel="1">
      <c r="A83" s="178" t="s">
        <v>3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193762.32</v>
      </c>
      <c r="K83" s="109"/>
      <c r="L83" s="188"/>
      <c r="M83" s="109"/>
      <c r="N83" s="109"/>
      <c r="O83" s="70" t="s">
        <v>104</v>
      </c>
    </row>
    <row r="84" spans="1:15" outlineLevel="1">
      <c r="A84" s="178" t="s">
        <v>15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88"/>
      <c r="M84" s="109"/>
      <c r="N84" s="109"/>
      <c r="O84" s="70" t="s">
        <v>105</v>
      </c>
    </row>
    <row r="85" spans="1:15" outlineLevel="1">
      <c r="A85" s="178" t="s">
        <v>16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88"/>
      <c r="M85" s="109"/>
      <c r="N85" s="109"/>
      <c r="O85" s="70" t="s">
        <v>106</v>
      </c>
    </row>
    <row r="86" spans="1:15" outlineLevel="1">
      <c r="A86" s="178" t="s">
        <v>17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208905.74000000002</v>
      </c>
      <c r="K86" s="109"/>
      <c r="L86" s="188"/>
      <c r="M86" s="109"/>
      <c r="N86" s="109"/>
      <c r="O86" s="70" t="s">
        <v>107</v>
      </c>
    </row>
    <row r="87" spans="1:15" ht="18.75" customHeight="1" outlineLevel="1">
      <c r="A87" s="178" t="s">
        <v>26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88"/>
      <c r="M87" s="109"/>
      <c r="N87" s="109"/>
      <c r="O87" s="70" t="s">
        <v>108</v>
      </c>
    </row>
    <row r="88" spans="1:15" ht="18.75" customHeight="1" outlineLevel="1">
      <c r="A88" s="178" t="s">
        <v>27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88"/>
      <c r="M88" s="109"/>
      <c r="N88" s="109"/>
      <c r="O88" s="70" t="s">
        <v>109</v>
      </c>
    </row>
    <row r="89" spans="1:15" ht="18.75" customHeight="1" outlineLevel="1">
      <c r="A89" s="178" t="s">
        <v>28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88"/>
      <c r="M89" s="109"/>
      <c r="N89" s="109"/>
      <c r="O89" s="70" t="s">
        <v>110</v>
      </c>
    </row>
    <row r="90" spans="1:15" ht="18.75" customHeight="1" outlineLevel="1">
      <c r="A90" s="178" t="s">
        <v>29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88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2" t="s">
        <v>47</v>
      </c>
      <c r="B93" s="172"/>
      <c r="C93" s="172"/>
      <c r="D93" s="175" t="s">
        <v>48</v>
      </c>
      <c r="E93" s="175"/>
      <c r="F93" s="10" t="s">
        <v>49</v>
      </c>
      <c r="G93" s="172" t="s">
        <v>50</v>
      </c>
      <c r="H93" s="172"/>
      <c r="I93" s="172"/>
      <c r="J93" s="172"/>
      <c r="K93" s="109"/>
      <c r="L93" s="109"/>
      <c r="M93" s="109"/>
      <c r="N93" s="109"/>
    </row>
    <row r="94" spans="1:15" hidden="1" outlineLevel="1">
      <c r="A94" s="176">
        <f>IF(VLOOKUP("эл",АО,3,FALSE)&gt;0,"Электроснабжение",0)</f>
        <v>0</v>
      </c>
      <c r="B94" s="176"/>
      <c r="C94" s="176"/>
      <c r="D94" s="174">
        <f>IF(VLOOKUP("эл",АО,3,FALSE)&gt;0,VLOOKUP("эл",АО,3,FALSE),0)</f>
        <v>0</v>
      </c>
      <c r="E94" s="174"/>
      <c r="F94" s="13">
        <f>IF(VLOOKUP("эл",АО,3,FALSE)&gt;0,VLOOKUP("эл",АО,4,FALSE),0)</f>
        <v>0</v>
      </c>
      <c r="G94" s="173">
        <f>VLOOKUP("эл",АО,5,FALSE)</f>
        <v>0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hidden="1" outlineLevel="2">
      <c r="A95" s="177">
        <f>IF(VLOOKUP("эл",АО,3,FALSE)&gt;0,VLOOKUP("эл1",АО,2,FALSE),0)</f>
        <v>0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0</v>
      </c>
      <c r="L95" s="189"/>
      <c r="O95" s="1" t="s">
        <v>112</v>
      </c>
    </row>
    <row r="96" spans="1:15" hidden="1" outlineLevel="2">
      <c r="A96" s="177">
        <f>IF(VLOOKUP("эл",АО,3,FALSE)&gt;0,VLOOKUP("эл2",АО,2,FALSE),0)</f>
        <v>0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0</v>
      </c>
      <c r="L96" s="189"/>
      <c r="O96" s="1" t="s">
        <v>113</v>
      </c>
    </row>
    <row r="97" spans="1:15" hidden="1" outlineLevel="2">
      <c r="A97" s="177">
        <f>IF(VLOOKUP("эл",АО,3,FALSE)&gt;0,VLOOKUP("эл3",АО,2,FALSE),0)</f>
        <v>0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0</v>
      </c>
      <c r="L97" s="189"/>
      <c r="O97" s="1" t="s">
        <v>114</v>
      </c>
    </row>
    <row r="98" spans="1:15" ht="37.5" hidden="1" customHeight="1" outlineLevel="2">
      <c r="A98" s="177">
        <f>IF(VLOOKUP("эл",АО,3,FALSE)&gt;0,VLOOKUP("эл4",АО,2,FALSE),0)</f>
        <v>0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0</v>
      </c>
      <c r="L98" s="189"/>
      <c r="O98" s="1" t="s">
        <v>115</v>
      </c>
    </row>
    <row r="99" spans="1:15" hidden="1" outlineLevel="2">
      <c r="A99" s="177">
        <f>IF(VLOOKUP("эл",АО,3,FALSE)&gt;0,VLOOKUP("эл5",АО,2,FALSE),0)</f>
        <v>0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0</v>
      </c>
      <c r="L99" s="189"/>
      <c r="O99" s="1" t="s">
        <v>116</v>
      </c>
    </row>
    <row r="100" spans="1:15" ht="39" hidden="1" customHeight="1" outlineLevel="2">
      <c r="A100" s="177">
        <f>IF(VLOOKUP("эл",АО,3,FALSE)&gt;0,VLOOKUP("эл6",АО,2,FALSE),0)</f>
        <v>0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117</v>
      </c>
    </row>
    <row r="101" spans="1:15" ht="34.5" hidden="1" customHeight="1" outlineLevel="2">
      <c r="A101" s="177">
        <f>IF(VLOOKUP("эл",АО,3,FALSE)&gt;0,VLOOKUP("эл7",АО,2,FALSE),0)</f>
        <v>0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118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215116.75999999992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15712.714758417642</v>
      </c>
      <c r="L103" s="189"/>
      <c r="O103" s="1" t="s">
        <v>121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210653.10000000012</v>
      </c>
      <c r="L104" s="189"/>
      <c r="O104" s="1" t="s">
        <v>122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4463.6599999997998</v>
      </c>
      <c r="L105" s="189"/>
      <c r="O105" s="1" t="s">
        <v>123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215116.75999999992</v>
      </c>
      <c r="L106" s="189"/>
      <c r="O106" s="1" t="s">
        <v>124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215116.75999999992</v>
      </c>
      <c r="L107" s="189"/>
      <c r="O107" s="1" t="s">
        <v>125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126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127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425079.96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25538.619014370383</v>
      </c>
      <c r="L111" s="189"/>
      <c r="O111" s="1" t="s">
        <v>129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414400.19999999995</v>
      </c>
      <c r="L112" s="189"/>
      <c r="O112" s="1" t="s">
        <v>130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10679.760000000068</v>
      </c>
      <c r="L113" s="189"/>
      <c r="O113" s="1" t="s">
        <v>131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425079.96</v>
      </c>
      <c r="L114" s="189"/>
      <c r="O114" s="1" t="s">
        <v>132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425079.96</v>
      </c>
      <c r="L115" s="189"/>
      <c r="O115" s="1" t="s">
        <v>133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134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135</v>
      </c>
    </row>
    <row r="118" spans="1:15" ht="32.25" hidden="1" customHeight="1" outlineLevel="1">
      <c r="A118" s="176">
        <f>IF(VLOOKUP("тко",АО,3,FALSE)&gt;0,"Обращение с ТКО",0)</f>
        <v>0</v>
      </c>
      <c r="B118" s="176"/>
      <c r="C118" s="176"/>
      <c r="D118" s="174">
        <f>IF(VLOOKUP("тко",АО,3,FALSE)&gt;0,VLOOKUP("тко",АО,3,FALSE),0)</f>
        <v>0</v>
      </c>
      <c r="E118" s="174"/>
      <c r="F118" s="13">
        <f>IF(VLOOKUP("тко",АО,3,FALSE)&gt;0,VLOOKUP("тко",АО,4,FALSE),0)</f>
        <v>0</v>
      </c>
      <c r="G118" s="173">
        <f>VLOOKUP("тко",АО,5,FALSE)</f>
        <v>0</v>
      </c>
      <c r="H118" s="174"/>
      <c r="I118" s="174"/>
      <c r="J118" s="174"/>
      <c r="L118" s="47"/>
    </row>
    <row r="119" spans="1:15" ht="32.25" hidden="1" customHeight="1" outlineLevel="2">
      <c r="A119" s="171">
        <f t="shared" ref="A119:A125" si="8">IF(VLOOKUP("тко",АО,3,FALSE)&gt;0,VLOOKUP(O119,АО,2,FALSE),0)</f>
        <v>0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1">
        <f t="shared" si="8"/>
        <v>0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1">
        <f t="shared" si="8"/>
        <v>0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1">
        <f t="shared" si="8"/>
        <v>0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1">
        <f t="shared" si="8"/>
        <v>0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1">
        <f t="shared" si="8"/>
        <v>0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1">
        <f t="shared" si="8"/>
        <v>0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6">
        <f>IF(VLOOKUP("гвс",АО,3,FALSE)&gt;0,"Горячее водоснабжение",0)</f>
        <v>0</v>
      </c>
      <c r="B126" s="176"/>
      <c r="C126" s="176"/>
      <c r="D126" s="174">
        <f>IF(VLOOKUP("гвс",АО,3,FALSE)&gt;0,VLOOKUP("гвс",АО,3,FALSE),0)</f>
        <v>0</v>
      </c>
      <c r="E126" s="174"/>
      <c r="F126" s="13">
        <f>IF(VLOOKUP("гвс",АО,3,FALSE)&gt;0,VLOOKUP("гвс",АО,4,FALSE),0)</f>
        <v>0</v>
      </c>
      <c r="G126" s="173">
        <f>VLOOKUP("гвс",АО,5,FALSE)</f>
        <v>0</v>
      </c>
      <c r="H126" s="174"/>
      <c r="I126" s="174"/>
      <c r="J126" s="174"/>
      <c r="L126" s="47"/>
    </row>
    <row r="127" spans="1:15" ht="32.25" hidden="1" customHeight="1" outlineLevel="2">
      <c r="A127" s="171">
        <f t="shared" ref="A127:A133" si="10">IF(VLOOKUP("гвс",АО,3,FALSE)&gt;0,VLOOKUP(O127,АО,2,FALSE),0)</f>
        <v>0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1">
        <f t="shared" si="10"/>
        <v>0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1">
        <f t="shared" si="10"/>
        <v>0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1">
        <f t="shared" si="10"/>
        <v>0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1">
        <f t="shared" si="10"/>
        <v>0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1">
        <f t="shared" si="10"/>
        <v>0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1">
        <f t="shared" si="10"/>
        <v>0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6">
        <f>IF(VLOOKUP("отопление",АО,3,FALSE)&gt;0,"Отопление",0)</f>
        <v>0</v>
      </c>
      <c r="B134" s="176"/>
      <c r="C134" s="176"/>
      <c r="D134" s="174">
        <f>IF(VLOOKUP("отопление",АО,3,FALSE)&gt;0,VLOOKUP("отопление",АО,3,FALSE),0)</f>
        <v>0</v>
      </c>
      <c r="E134" s="174"/>
      <c r="F134" s="13">
        <f>IF(VLOOKUP("отопление",АО,3,FALSE)&gt;0,VLOOKUP("отопление",АО,4,FALSE),0)</f>
        <v>0</v>
      </c>
      <c r="G134" s="173">
        <f>VLOOKUP("отопление",АО,5,FALSE)</f>
        <v>0</v>
      </c>
      <c r="H134" s="174"/>
      <c r="I134" s="174"/>
      <c r="J134" s="174"/>
      <c r="L134" s="47"/>
    </row>
    <row r="135" spans="1:15" ht="32.25" hidden="1" customHeight="1" outlineLevel="2">
      <c r="A135" s="171">
        <f t="shared" ref="A135:A141" si="12">IF(VLOOKUP("отопление",АО,3,FALSE)&gt;0,VLOOKUP(O135,АО,2,FALSE),0)</f>
        <v>0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1">
        <f t="shared" si="12"/>
        <v>0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1">
        <f t="shared" si="12"/>
        <v>0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1">
        <f t="shared" si="12"/>
        <v>0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1">
        <f t="shared" si="12"/>
        <v>0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1">
        <f t="shared" si="12"/>
        <v>0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1">
        <f t="shared" si="12"/>
        <v>0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1" t="s">
        <v>44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0</v>
      </c>
      <c r="O144" t="s">
        <v>169</v>
      </c>
    </row>
    <row r="145" spans="1:15" ht="18.75" customHeight="1" outlineLevel="1">
      <c r="A145" s="171" t="s">
        <v>45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12</v>
      </c>
      <c r="L145" s="15"/>
      <c r="O145" t="s">
        <v>170</v>
      </c>
    </row>
    <row r="146" spans="1:15" ht="30" customHeight="1" outlineLevel="1">
      <c r="A146" s="171" t="s">
        <v>172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0</v>
      </c>
      <c r="O146" t="s">
        <v>171</v>
      </c>
    </row>
    <row r="149" spans="1:15" ht="52.5" customHeight="1">
      <c r="A149" s="167" t="s">
        <v>185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186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66" t="s">
        <v>199</v>
      </c>
      <c r="B154" s="166"/>
      <c r="C154" s="166"/>
      <c r="D154" s="166"/>
      <c r="E154" s="27">
        <f>ПТО!G1</f>
        <v>-176119.5</v>
      </c>
    </row>
    <row r="155" spans="1:15" ht="34.5" customHeight="1">
      <c r="A155" s="168" t="s">
        <v>198</v>
      </c>
      <c r="B155" s="168"/>
      <c r="C155" s="168"/>
      <c r="D155" s="168"/>
      <c r="E155" s="28">
        <f>J13</f>
        <v>185011.20000000001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18</v>
      </c>
      <c r="B157" s="169"/>
      <c r="C157" s="169"/>
      <c r="D157" s="169"/>
      <c r="E157" s="169"/>
      <c r="F157" s="169" t="s">
        <v>19</v>
      </c>
      <c r="G157" s="169"/>
      <c r="H157" s="20" t="s">
        <v>56</v>
      </c>
      <c r="I157" s="169" t="s">
        <v>20</v>
      </c>
      <c r="J157" s="169"/>
    </row>
    <row r="158" spans="1:15" ht="29.25" customHeight="1">
      <c r="A158" s="163" t="str">
        <f t="shared" ref="A158:A163" si="14">IF(N158&gt;0,N158,0)</f>
        <v>Техническое обслуживание системы видеонаблюдения.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14820</v>
      </c>
      <c r="G158" s="164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12</v>
      </c>
      <c r="J158" s="165"/>
      <c r="M158" s="22" t="s">
        <v>71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3" t="str">
        <f t="shared" si="14"/>
        <v>Техническое освидетельствование лифтов.</v>
      </c>
      <c r="B159" s="163"/>
      <c r="C159" s="163"/>
      <c r="D159" s="163"/>
      <c r="E159" s="163"/>
      <c r="F159" s="164">
        <f t="shared" si="15"/>
        <v>16200</v>
      </c>
      <c r="G159" s="164"/>
      <c r="H159" s="24" t="str">
        <f t="shared" si="16"/>
        <v>ежегодно</v>
      </c>
      <c r="I159" s="165">
        <f t="shared" si="17"/>
        <v>2</v>
      </c>
      <c r="J159" s="165"/>
      <c r="M159" s="22" t="s">
        <v>71</v>
      </c>
      <c r="N159" s="1" t="str">
        <v>Техническое освидетельствование лифтов.</v>
      </c>
    </row>
    <row r="160" spans="1:15" ht="28.5" customHeight="1">
      <c r="A160" s="163" t="str">
        <f t="shared" si="14"/>
        <v>Приобретение и замена контейнеров для ТКО (3 шт.).</v>
      </c>
      <c r="B160" s="163"/>
      <c r="C160" s="163"/>
      <c r="D160" s="163"/>
      <c r="E160" s="163"/>
      <c r="F160" s="164">
        <f t="shared" si="15"/>
        <v>10200.6</v>
      </c>
      <c r="G160" s="164"/>
      <c r="H160" s="24" t="str">
        <f t="shared" si="16"/>
        <v>разово</v>
      </c>
      <c r="I160" s="165">
        <f t="shared" si="17"/>
        <v>1</v>
      </c>
      <c r="J160" s="165"/>
      <c r="M160" s="22" t="s">
        <v>71</v>
      </c>
      <c r="N160" s="1" t="str">
        <v>Приобретение и замена контейнеров для ТКО (3 шт.).</v>
      </c>
    </row>
    <row r="161" spans="1:14" ht="28.5" customHeight="1">
      <c r="A161" s="163" t="str">
        <f>IF(N161&gt;0,N161,0)</f>
        <v>Приобретение и монтаж дверных доводчиков (8 шт.).</v>
      </c>
      <c r="B161" s="163"/>
      <c r="C161" s="163"/>
      <c r="D161" s="163"/>
      <c r="E161" s="163"/>
      <c r="F161" s="164">
        <f t="shared" si="15"/>
        <v>10932.32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71</v>
      </c>
      <c r="N161" s="1" t="str">
        <v>Приобретение и монтаж дверных доводчиков (8 шт.).</v>
      </c>
    </row>
    <row r="162" spans="1:14" ht="28.5" customHeight="1">
      <c r="A162" s="163" t="str">
        <f t="shared" si="14"/>
        <v>Приобретение и замена общедомового прибора учета холодного водоснабжения.</v>
      </c>
      <c r="B162" s="163"/>
      <c r="C162" s="163"/>
      <c r="D162" s="163"/>
      <c r="E162" s="163"/>
      <c r="F162" s="164">
        <f t="shared" si="15"/>
        <v>6046.9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71</v>
      </c>
      <c r="N162" s="1" t="str">
        <v>Приобретение и замена общедомового прибора учета холодного водоснабжения.</v>
      </c>
    </row>
    <row r="163" spans="1:14" ht="28.5" customHeight="1">
      <c r="A163" s="163" t="str">
        <f t="shared" si="14"/>
        <v>Благоустройство придомовой территории (срезка и вывоз поврежденного асфальтобетона).</v>
      </c>
      <c r="B163" s="163"/>
      <c r="C163" s="163"/>
      <c r="D163" s="163"/>
      <c r="E163" s="163"/>
      <c r="F163" s="164">
        <f t="shared" si="15"/>
        <v>2584.4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71</v>
      </c>
      <c r="N163" s="1" t="str">
        <v>Благоустройство придомовой территории (срезка и вывоз поврежденного асфальтобетона).</v>
      </c>
    </row>
    <row r="164" spans="1:14" ht="28.5" customHeight="1">
      <c r="A164" s="163" t="str">
        <f t="shared" ref="A164:A187" si="18">IF(N164&gt;0,N164,0)</f>
        <v>Испытание пожарных кранов (32 шт.).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8000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71</v>
      </c>
      <c r="N164" s="1" t="str">
        <v>Испытание пожарных кранов (32 шт.).</v>
      </c>
    </row>
    <row r="165" spans="1:14" ht="28.5" customHeight="1">
      <c r="A165" s="163" t="str">
        <f t="shared" si="18"/>
        <v>Замена кнопочного модуля (кнопка закрывания кабины лифта).</v>
      </c>
      <c r="B165" s="163"/>
      <c r="C165" s="163"/>
      <c r="D165" s="163"/>
      <c r="E165" s="163"/>
      <c r="F165" s="164">
        <f t="shared" si="19"/>
        <v>1969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71</v>
      </c>
      <c r="N165" s="1" t="str">
        <v>Замена кнопочного модуля (кнопка закрывания кабины лифта).</v>
      </c>
    </row>
    <row r="166" spans="1:14" ht="28.5" customHeight="1">
      <c r="A166" s="163" t="str">
        <f t="shared" si="18"/>
        <v>Приобретение и монтаж противоскользящей ленты.</v>
      </c>
      <c r="B166" s="163"/>
      <c r="C166" s="163"/>
      <c r="D166" s="163"/>
      <c r="E166" s="163"/>
      <c r="F166" s="164">
        <f t="shared" si="19"/>
        <v>6000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71</v>
      </c>
      <c r="N166" s="1" t="str">
        <v>Приобретение и монтаж противоскользящей ленты.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4">
        <f t="shared" si="19"/>
        <v>0</v>
      </c>
      <c r="G167" s="164"/>
      <c r="H167" s="29" t="e">
        <f t="shared" si="16"/>
        <v>#N/A</v>
      </c>
      <c r="I167" s="165" t="e">
        <f t="shared" si="20"/>
        <v>#N/A</v>
      </c>
      <c r="J167" s="165"/>
      <c r="M167" s="22" t="s">
        <v>71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4">
        <f t="shared" si="19"/>
        <v>0</v>
      </c>
      <c r="G168" s="164"/>
      <c r="H168" s="29" t="e">
        <f t="shared" si="16"/>
        <v>#N/A</v>
      </c>
      <c r="I168" s="165" t="e">
        <f t="shared" si="20"/>
        <v>#N/A</v>
      </c>
      <c r="J168" s="165"/>
      <c r="M168" s="22" t="s">
        <v>71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4">
        <f t="shared" si="19"/>
        <v>0</v>
      </c>
      <c r="G169" s="164"/>
      <c r="H169" s="29" t="e">
        <f t="shared" si="16"/>
        <v>#N/A</v>
      </c>
      <c r="I169" s="165" t="e">
        <f t="shared" si="20"/>
        <v>#N/A</v>
      </c>
      <c r="J169" s="165"/>
      <c r="M169" s="22" t="s">
        <v>71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4">
        <f t="shared" si="19"/>
        <v>0</v>
      </c>
      <c r="G170" s="164"/>
      <c r="H170" s="29" t="e">
        <f t="shared" si="16"/>
        <v>#N/A</v>
      </c>
      <c r="I170" s="165" t="e">
        <f t="shared" si="20"/>
        <v>#N/A</v>
      </c>
      <c r="J170" s="165"/>
      <c r="M170" s="22" t="s">
        <v>71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4">
        <f t="shared" si="19"/>
        <v>0</v>
      </c>
      <c r="G171" s="164"/>
      <c r="H171" s="29" t="e">
        <f t="shared" si="16"/>
        <v>#N/A</v>
      </c>
      <c r="I171" s="165" t="e">
        <f t="shared" si="20"/>
        <v>#N/A</v>
      </c>
      <c r="J171" s="165"/>
      <c r="M171" s="22" t="s">
        <v>71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4">
        <f t="shared" si="19"/>
        <v>0</v>
      </c>
      <c r="G172" s="164"/>
      <c r="H172" s="29" t="e">
        <f t="shared" si="16"/>
        <v>#N/A</v>
      </c>
      <c r="I172" s="165" t="e">
        <f t="shared" si="20"/>
        <v>#N/A</v>
      </c>
      <c r="J172" s="165"/>
      <c r="M172" s="22" t="s">
        <v>71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4">
        <f t="shared" si="19"/>
        <v>0</v>
      </c>
      <c r="G173" s="164"/>
      <c r="H173" s="29" t="e">
        <f t="shared" si="16"/>
        <v>#N/A</v>
      </c>
      <c r="I173" s="165" t="e">
        <f t="shared" si="20"/>
        <v>#N/A</v>
      </c>
      <c r="J173" s="165"/>
      <c r="M173" s="22" t="s">
        <v>71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4">
        <f t="shared" si="19"/>
        <v>0</v>
      </c>
      <c r="G174" s="164"/>
      <c r="H174" s="29" t="e">
        <f t="shared" si="16"/>
        <v>#N/A</v>
      </c>
      <c r="I174" s="165" t="e">
        <f t="shared" si="20"/>
        <v>#N/A</v>
      </c>
      <c r="J174" s="165"/>
      <c r="M174" s="22" t="s">
        <v>71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71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71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71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71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71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71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71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71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71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71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71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71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6" t="s">
        <v>197</v>
      </c>
      <c r="B190" s="166"/>
      <c r="C190" s="166"/>
      <c r="D190" s="166"/>
      <c r="E190" s="27">
        <f>SUM(F158:G187)</f>
        <v>76753.22</v>
      </c>
    </row>
    <row r="191" spans="1:14" ht="51.75" customHeight="1">
      <c r="A191" s="166" t="s">
        <v>196</v>
      </c>
      <c r="B191" s="166"/>
      <c r="C191" s="166"/>
      <c r="D191" s="166"/>
      <c r="E191" s="27">
        <f>E190+E154-E155</f>
        <v>-284377.48</v>
      </c>
    </row>
    <row r="192" spans="1:14">
      <c r="A192" s="104" t="s">
        <v>173</v>
      </c>
    </row>
    <row r="193" spans="1:10" ht="62.25" customHeight="1">
      <c r="A193" s="191" t="s">
        <v>195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49">
        <f>ПТО!G12</f>
        <v>1200</v>
      </c>
      <c r="I194" s="50" t="s">
        <v>73</v>
      </c>
    </row>
    <row r="195" spans="1:10" ht="18.75" customHeight="1">
      <c r="A195" s="190" t="str">
        <f>ПТО!F13</f>
        <v xml:space="preserve">  -  техническое освидетельствование лифтов</v>
      </c>
      <c r="B195" s="190"/>
      <c r="C195" s="190"/>
      <c r="D195" s="190"/>
      <c r="E195" s="190"/>
      <c r="F195" s="190"/>
      <c r="G195" s="190"/>
      <c r="H195" s="49">
        <f>ПТО!G13</f>
        <v>16200</v>
      </c>
      <c r="I195" s="50" t="s">
        <v>73</v>
      </c>
    </row>
    <row r="196" spans="1:10" ht="18.75" customHeight="1">
      <c r="A196" s="190" t="str">
        <f>ПТО!F14</f>
        <v xml:space="preserve">  -  техническое обслуживание системы видеонаблюдения</v>
      </c>
      <c r="B196" s="190"/>
      <c r="C196" s="190"/>
      <c r="D196" s="190"/>
      <c r="E196" s="190"/>
      <c r="F196" s="190"/>
      <c r="G196" s="190"/>
      <c r="H196" s="49">
        <f>ПТО!G14</f>
        <v>15000</v>
      </c>
      <c r="I196" s="50" t="s">
        <v>73</v>
      </c>
    </row>
    <row r="197" spans="1:10" ht="18.75" customHeight="1">
      <c r="A197" s="190" t="str">
        <f>ПТО!F15</f>
        <v xml:space="preserve">  -  замена светильников на лестничной клетке</v>
      </c>
      <c r="B197" s="190"/>
      <c r="C197" s="190"/>
      <c r="D197" s="190"/>
      <c r="E197" s="190"/>
      <c r="F197" s="190"/>
      <c r="G197" s="190"/>
      <c r="H197" s="49">
        <f>ПТО!G15</f>
        <v>20000</v>
      </c>
      <c r="I197" s="50" t="s">
        <v>73</v>
      </c>
    </row>
    <row r="198" spans="1:10" ht="37.5" customHeight="1">
      <c r="A198" s="190" t="str">
        <f>ПТО!F16</f>
        <v xml:space="preserve">  -  устройство водоотвода от крыльца через тротуар на проезжую часть</v>
      </c>
      <c r="B198" s="190"/>
      <c r="C198" s="190"/>
      <c r="D198" s="190"/>
      <c r="E198" s="190"/>
      <c r="F198" s="190"/>
      <c r="G198" s="190"/>
      <c r="H198" s="49">
        <f>ПТО!G16</f>
        <v>6500</v>
      </c>
      <c r="I198" s="52" t="s">
        <v>73</v>
      </c>
    </row>
    <row r="199" spans="1:10" ht="18.75" customHeight="1">
      <c r="A199" s="190" t="str">
        <f>ПТО!F17</f>
        <v xml:space="preserve">  -  покраска металлического ограждения</v>
      </c>
      <c r="B199" s="190"/>
      <c r="C199" s="190"/>
      <c r="D199" s="190"/>
      <c r="E199" s="190"/>
      <c r="F199" s="190"/>
      <c r="G199" s="190"/>
      <c r="H199" s="49">
        <f>ПТО!G17</f>
        <v>4000</v>
      </c>
      <c r="I199" s="50" t="s">
        <v>73</v>
      </c>
    </row>
    <row r="200" spans="1:10" ht="38.25" customHeight="1">
      <c r="A200" s="190" t="str">
        <f>ПТО!F18</f>
        <v xml:space="preserve">  -  покраска (обновление) бордюров и разлиновка парковочных мест</v>
      </c>
      <c r="B200" s="190"/>
      <c r="C200" s="190"/>
      <c r="D200" s="190"/>
      <c r="E200" s="190"/>
      <c r="F200" s="190"/>
      <c r="G200" s="190"/>
      <c r="H200" s="49">
        <f>ПТО!G18</f>
        <v>9000</v>
      </c>
      <c r="I200" s="50" t="s">
        <v>73</v>
      </c>
    </row>
    <row r="201" spans="1:10" ht="38.25" customHeight="1">
      <c r="A201" s="190" t="str">
        <f>ПТО!F19</f>
        <v xml:space="preserve">  -  монтаж уличных светодиодных светильников за домами 1-ой очереди (3 шт.)</v>
      </c>
      <c r="B201" s="190"/>
      <c r="C201" s="190"/>
      <c r="D201" s="190"/>
      <c r="E201" s="190"/>
      <c r="F201" s="190"/>
      <c r="G201" s="190"/>
      <c r="H201" s="49">
        <f>ПТО!G19</f>
        <v>15500</v>
      </c>
      <c r="I201" s="50" t="s">
        <v>73</v>
      </c>
    </row>
    <row r="202" spans="1:10" ht="38.25" customHeight="1">
      <c r="A202" s="190" t="str">
        <f>ПТО!F20</f>
        <v xml:space="preserve">  -  промазка битумным технониколем швов рулонного технониколя, фановых труб, вентиляционных шахт, парапетов и т.п.</v>
      </c>
      <c r="B202" s="190"/>
      <c r="C202" s="190"/>
      <c r="D202" s="190"/>
      <c r="E202" s="190"/>
      <c r="F202" s="190"/>
      <c r="G202" s="190"/>
      <c r="H202" s="49">
        <f>ПТО!G20</f>
        <v>12000</v>
      </c>
      <c r="I202" s="50" t="s">
        <v>73</v>
      </c>
    </row>
    <row r="203" spans="1:10" ht="38.25" customHeight="1">
      <c r="A203" s="190" t="str">
        <f>ПТО!F21</f>
        <v xml:space="preserve">  -  изготовление, монтаж металлических панелей для закрытия сейсмопоясов МКД</v>
      </c>
      <c r="B203" s="190"/>
      <c r="C203" s="190"/>
      <c r="D203" s="190"/>
      <c r="E203" s="190"/>
      <c r="F203" s="190"/>
      <c r="G203" s="190"/>
      <c r="H203" s="49">
        <f>ПТО!G21</f>
        <v>200000</v>
      </c>
      <c r="I203" s="50" t="s">
        <v>73</v>
      </c>
    </row>
    <row r="204" spans="1:10">
      <c r="A204" s="190" t="str">
        <f>ПТО!F22</f>
        <v xml:space="preserve">  -  ремонт незадымляемых переходов</v>
      </c>
      <c r="B204" s="190"/>
      <c r="C204" s="190"/>
      <c r="D204" s="190"/>
      <c r="E204" s="190"/>
      <c r="F204" s="190"/>
      <c r="G204" s="190"/>
      <c r="H204" s="49">
        <f>ПТО!G22</f>
        <v>100000</v>
      </c>
      <c r="I204" s="50" t="s">
        <v>73</v>
      </c>
    </row>
    <row r="205" spans="1:10">
      <c r="A205" s="190" t="str">
        <f>ПТО!F23</f>
        <v xml:space="preserve">  -  замена проходной двери лестничного марша (цокольный этаж)</v>
      </c>
      <c r="B205" s="190"/>
      <c r="C205" s="190"/>
      <c r="D205" s="190"/>
      <c r="E205" s="190"/>
      <c r="F205" s="190"/>
      <c r="G205" s="190"/>
      <c r="H205" s="49">
        <f>ПТО!G23</f>
        <v>40000</v>
      </c>
      <c r="I205" s="50" t="s">
        <v>73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49">
        <f>ПТО!G24</f>
        <v>0</v>
      </c>
      <c r="I206" s="50" t="s">
        <v>73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49">
        <f>ПТО!G25</f>
        <v>0</v>
      </c>
      <c r="I207" s="50" t="s">
        <v>73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49">
        <f>ПТО!G26</f>
        <v>0</v>
      </c>
      <c r="I208" s="50" t="s">
        <v>73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49">
        <f>ПТО!G27</f>
        <v>0</v>
      </c>
      <c r="I209" s="50" t="s">
        <v>73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49">
        <f>ПТО!G28</f>
        <v>0</v>
      </c>
      <c r="I210" s="50" t="s">
        <v>73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49">
        <f>ПТО!G29</f>
        <v>0</v>
      </c>
      <c r="I211" s="50" t="s">
        <v>73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49">
        <f>ПТО!G30</f>
        <v>0</v>
      </c>
      <c r="I212" s="50" t="s">
        <v>73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439400</v>
      </c>
      <c r="I214" s="56" t="s">
        <v>76</v>
      </c>
    </row>
  </sheetData>
  <sheetProtection algorithmName="SHA-512" hashValue="WxFRBK2cnatAVKIS7gfMCCleG+JqdQydqklBX86ixnPknZXsY2WT5H8jxbbTkQcP0g4mGAPEXYAPV+s1avDERA==" saltValue="kWr/7DKWwNSTXn+6Mu5pW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199</v>
      </c>
      <c r="G1" s="101">
        <f>-176119.5</f>
        <v>-176119.5</v>
      </c>
    </row>
    <row r="2" spans="1:12" ht="18.75" customHeight="1">
      <c r="A2" s="121" t="s">
        <v>177</v>
      </c>
      <c r="B2" s="117" t="s">
        <v>179</v>
      </c>
      <c r="C2" s="117">
        <v>12</v>
      </c>
      <c r="D2" s="120">
        <f>3800*12*0.325</f>
        <v>14820</v>
      </c>
      <c r="E2" s="139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9" t="s">
        <v>180</v>
      </c>
      <c r="C3" s="119">
        <v>2</v>
      </c>
      <c r="D3" s="120">
        <v>16200</v>
      </c>
      <c r="E3" s="139" t="s">
        <v>212</v>
      </c>
      <c r="F3" s="30"/>
      <c r="G3" s="30"/>
      <c r="L3" s="33" t="str">
        <f t="shared" si="0"/>
        <v>ТР</v>
      </c>
    </row>
    <row r="4" spans="1:12" ht="18.75" customHeight="1">
      <c r="A4" s="148" t="s">
        <v>202</v>
      </c>
      <c r="B4" s="131" t="s">
        <v>201</v>
      </c>
      <c r="C4" s="149">
        <v>1</v>
      </c>
      <c r="D4" s="150">
        <v>10200.6</v>
      </c>
      <c r="E4" s="139" t="s">
        <v>206</v>
      </c>
      <c r="F4" s="30"/>
      <c r="G4" s="30"/>
      <c r="L4" s="33" t="str">
        <f t="shared" si="0"/>
        <v>ТР</v>
      </c>
    </row>
    <row r="5" spans="1:12" ht="18.75" customHeight="1">
      <c r="A5" s="151" t="s">
        <v>200</v>
      </c>
      <c r="B5" s="152" t="s">
        <v>201</v>
      </c>
      <c r="C5" s="153">
        <v>1</v>
      </c>
      <c r="D5" s="154">
        <v>10932.32</v>
      </c>
      <c r="E5" s="139" t="s">
        <v>207</v>
      </c>
      <c r="F5" s="44"/>
      <c r="G5" s="44"/>
      <c r="K5" s="46"/>
      <c r="L5" s="33" t="str">
        <f t="shared" si="0"/>
        <v>ТР</v>
      </c>
    </row>
    <row r="6" spans="1:12" ht="18.75" customHeight="1">
      <c r="A6" s="155" t="s">
        <v>204</v>
      </c>
      <c r="B6" s="131" t="s">
        <v>201</v>
      </c>
      <c r="C6" s="149">
        <v>1</v>
      </c>
      <c r="D6" s="150">
        <v>6046.9</v>
      </c>
      <c r="E6" s="139" t="s">
        <v>208</v>
      </c>
      <c r="F6" s="44"/>
      <c r="G6" s="44"/>
      <c r="K6" s="46"/>
      <c r="L6" s="33" t="str">
        <f t="shared" si="0"/>
        <v>ТР</v>
      </c>
    </row>
    <row r="7" spans="1:12" ht="18.75" customHeight="1">
      <c r="A7" s="145" t="s">
        <v>205</v>
      </c>
      <c r="B7" s="146" t="s">
        <v>201</v>
      </c>
      <c r="C7" s="117">
        <v>1</v>
      </c>
      <c r="D7" s="120">
        <v>2584.4</v>
      </c>
      <c r="E7" s="147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203</v>
      </c>
      <c r="B8" s="160" t="s">
        <v>201</v>
      </c>
      <c r="C8" s="133">
        <v>1</v>
      </c>
      <c r="D8" s="135">
        <v>8000</v>
      </c>
      <c r="E8" s="139" t="s">
        <v>216</v>
      </c>
      <c r="F8" s="45"/>
      <c r="G8" s="45"/>
      <c r="K8" s="43"/>
      <c r="L8" s="33" t="str">
        <f t="shared" si="0"/>
        <v>ТР</v>
      </c>
    </row>
    <row r="9" spans="1:12">
      <c r="A9" s="159" t="s">
        <v>210</v>
      </c>
      <c r="B9" s="131" t="s">
        <v>201</v>
      </c>
      <c r="C9" s="149">
        <v>1</v>
      </c>
      <c r="D9" s="150">
        <v>1969</v>
      </c>
      <c r="E9" s="139" t="s">
        <v>215</v>
      </c>
      <c r="F9" s="44"/>
      <c r="G9" s="44"/>
      <c r="K9" s="43"/>
      <c r="L9" s="33" t="str">
        <f t="shared" si="0"/>
        <v>ТР</v>
      </c>
    </row>
    <row r="10" spans="1:12">
      <c r="A10" s="156" t="s">
        <v>211</v>
      </c>
      <c r="B10" s="157" t="s">
        <v>201</v>
      </c>
      <c r="C10" s="117">
        <v>1</v>
      </c>
      <c r="D10" s="120">
        <v>6000</v>
      </c>
      <c r="E10" s="158" t="s">
        <v>214</v>
      </c>
      <c r="L10" s="33" t="str">
        <f t="shared" si="0"/>
        <v>ТР</v>
      </c>
    </row>
    <row r="11" spans="1:12" ht="94.5">
      <c r="A11" s="140"/>
      <c r="B11" s="141"/>
      <c r="C11" s="133"/>
      <c r="D11" s="135"/>
      <c r="E11" s="139"/>
      <c r="F11" s="111" t="s">
        <v>195</v>
      </c>
      <c r="G11" s="111"/>
      <c r="L11" s="33">
        <f t="shared" si="0"/>
        <v>0</v>
      </c>
    </row>
    <row r="12" spans="1:12" ht="31.5">
      <c r="A12" s="124"/>
      <c r="B12" s="117"/>
      <c r="C12" s="117"/>
      <c r="D12" s="118"/>
      <c r="E12" s="125"/>
      <c r="F12" s="112" t="s">
        <v>72</v>
      </c>
      <c r="G12" s="113">
        <v>1200</v>
      </c>
      <c r="L12" s="33">
        <f t="shared" si="0"/>
        <v>0</v>
      </c>
    </row>
    <row r="13" spans="1:12" ht="31.5">
      <c r="A13" s="121"/>
      <c r="B13" s="117"/>
      <c r="C13" s="119"/>
      <c r="D13" s="120"/>
      <c r="E13" s="126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21"/>
      <c r="B14" s="117"/>
      <c r="C14" s="122"/>
      <c r="D14" s="120"/>
      <c r="E14" s="125"/>
      <c r="F14" s="112" t="s">
        <v>74</v>
      </c>
      <c r="G14" s="161">
        <v>15000</v>
      </c>
      <c r="L14" s="33">
        <f t="shared" si="0"/>
        <v>0</v>
      </c>
    </row>
    <row r="15" spans="1:12" ht="31.5">
      <c r="A15" s="123"/>
      <c r="B15" s="117"/>
      <c r="C15" s="117"/>
      <c r="D15" s="120"/>
      <c r="E15" s="125"/>
      <c r="F15" s="112" t="s">
        <v>219</v>
      </c>
      <c r="G15" s="113">
        <v>20000</v>
      </c>
      <c r="L15" s="33">
        <f t="shared" si="0"/>
        <v>0</v>
      </c>
    </row>
    <row r="16" spans="1:12" ht="31.5">
      <c r="A16" s="124"/>
      <c r="B16" s="117"/>
      <c r="C16" s="122"/>
      <c r="D16" s="120"/>
      <c r="E16" s="126"/>
      <c r="F16" s="112" t="s">
        <v>220</v>
      </c>
      <c r="G16" s="113">
        <v>6500</v>
      </c>
      <c r="L16" s="33">
        <f t="shared" si="0"/>
        <v>0</v>
      </c>
    </row>
    <row r="17" spans="1:12" ht="31.5">
      <c r="A17" s="124"/>
      <c r="B17" s="117"/>
      <c r="C17" s="117"/>
      <c r="D17" s="118"/>
      <c r="E17" s="125"/>
      <c r="F17" s="112" t="s">
        <v>183</v>
      </c>
      <c r="G17" s="113">
        <v>4000</v>
      </c>
      <c r="L17" s="33">
        <f t="shared" si="0"/>
        <v>0</v>
      </c>
    </row>
    <row r="18" spans="1:12" ht="31.5">
      <c r="A18" s="121"/>
      <c r="B18" s="117"/>
      <c r="C18" s="119"/>
      <c r="D18" s="120"/>
      <c r="E18" s="126"/>
      <c r="F18" s="112" t="s">
        <v>184</v>
      </c>
      <c r="G18" s="113">
        <v>9000</v>
      </c>
      <c r="L18" s="33">
        <f t="shared" si="0"/>
        <v>0</v>
      </c>
    </row>
    <row r="19" spans="1:12" ht="47.25">
      <c r="A19" s="121"/>
      <c r="B19" s="129"/>
      <c r="C19" s="117"/>
      <c r="D19" s="118"/>
      <c r="E19" s="127"/>
      <c r="F19" s="112" t="s">
        <v>221</v>
      </c>
      <c r="G19" s="113">
        <v>15500</v>
      </c>
      <c r="L19" s="33">
        <f t="shared" si="0"/>
        <v>0</v>
      </c>
    </row>
    <row r="20" spans="1:12" ht="63">
      <c r="A20" s="130"/>
      <c r="B20" s="117"/>
      <c r="C20" s="131"/>
      <c r="D20" s="132"/>
      <c r="E20" s="127"/>
      <c r="F20" s="112" t="s">
        <v>217</v>
      </c>
      <c r="G20" s="113">
        <v>12000</v>
      </c>
      <c r="L20" s="33">
        <f t="shared" si="0"/>
        <v>0</v>
      </c>
    </row>
    <row r="21" spans="1:12" ht="47.25">
      <c r="A21" s="138"/>
      <c r="B21" s="133"/>
      <c r="C21" s="134"/>
      <c r="D21" s="135"/>
      <c r="E21" s="126"/>
      <c r="F21" s="112" t="s">
        <v>218</v>
      </c>
      <c r="G21" s="113">
        <v>200000</v>
      </c>
      <c r="L21" s="33">
        <f t="shared" si="0"/>
        <v>0</v>
      </c>
    </row>
    <row r="22" spans="1:12" ht="15.75">
      <c r="A22" s="138"/>
      <c r="B22" s="133"/>
      <c r="C22" s="134"/>
      <c r="D22" s="135"/>
      <c r="E22" s="126"/>
      <c r="F22" s="112" t="s">
        <v>222</v>
      </c>
      <c r="G22" s="113">
        <v>100000</v>
      </c>
      <c r="L22" s="33">
        <f t="shared" si="0"/>
        <v>0</v>
      </c>
    </row>
    <row r="23" spans="1:12" ht="31.5">
      <c r="A23" s="137"/>
      <c r="B23" s="133"/>
      <c r="C23" s="131"/>
      <c r="D23" s="135"/>
      <c r="E23" s="128"/>
      <c r="F23" s="112" t="s">
        <v>223</v>
      </c>
      <c r="G23" s="113">
        <v>40000</v>
      </c>
      <c r="L23" s="33">
        <f t="shared" ref="L23:L31" si="1">IF(A23&gt;0,"ТР",0)</f>
        <v>0</v>
      </c>
    </row>
    <row r="24" spans="1:12" ht="15.75">
      <c r="B24" s="136"/>
      <c r="C24" s="136"/>
      <c r="E24" s="128"/>
      <c r="F24" s="112"/>
      <c r="G24" s="113"/>
      <c r="L24" s="33">
        <f t="shared" si="1"/>
        <v>0</v>
      </c>
    </row>
    <row r="25" spans="1:12">
      <c r="B25" s="136"/>
      <c r="C25" s="136"/>
      <c r="E25" s="128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4">
        <f>6.36*D39*$E$40</f>
        <v>588335.61600000004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588335.61600000004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4">
        <f>1.84*D40*$E$40</f>
        <v>170210.304</v>
      </c>
      <c r="C40" s="38" t="s">
        <v>67</v>
      </c>
      <c r="D40" s="39">
        <v>12</v>
      </c>
      <c r="E40" s="34">
        <f>'Абонентский отдел'!F1</f>
        <v>7708.8</v>
      </c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170210.304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4">
        <f>0.46*D41*$E$40</f>
        <v>42552.576000000001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42552.576000000001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4">
        <f>1.2*D42*$E$40</f>
        <v>111006.71999999999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111006.71999999999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144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4">
        <f>0.78*D44*$E$40</f>
        <v>72154.368000000002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72154.368000000002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44">
        <f>1.72*D45*$E$40</f>
        <v>159109.63200000001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159109.63200000001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144">
        <f>3.99*D46*$E$40</f>
        <v>369097.34400000004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369097.34400000004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48"/>
      <c r="E47" s="142">
        <v>2060.8000000000002</v>
      </c>
      <c r="F47" s="142">
        <v>1677.7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194</v>
      </c>
      <c r="B48" s="144">
        <f>0.25*D48*$E$40</f>
        <v>23126.400000000001</v>
      </c>
      <c r="C48" s="143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23126.400000000001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187</v>
      </c>
      <c r="F52" s="136" t="s">
        <v>188</v>
      </c>
      <c r="G52" s="136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42">
        <v>7708.8</v>
      </c>
      <c r="G53" s="136">
        <v>3.83</v>
      </c>
      <c r="H53" s="136">
        <f>G53*E47/F53</f>
        <v>1.0238771274387712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190</v>
      </c>
      <c r="G54" s="136" t="s">
        <v>191</v>
      </c>
      <c r="H54" s="136">
        <f>H53*G56</f>
        <v>42.490900788709006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41.5</v>
      </c>
      <c r="H56" s="136"/>
    </row>
    <row r="57" spans="5:16">
      <c r="E57" s="136"/>
      <c r="F57" s="136"/>
      <c r="G57" s="136"/>
      <c r="H57" s="136"/>
    </row>
    <row r="58" spans="5:16">
      <c r="E58" s="136" t="s">
        <v>192</v>
      </c>
      <c r="F58" s="136"/>
      <c r="G58" s="136"/>
      <c r="H58" s="136"/>
    </row>
    <row r="59" spans="5:16">
      <c r="E59" s="136">
        <v>0.59599999999999997</v>
      </c>
      <c r="F59" s="142">
        <f>F53</f>
        <v>7708.8</v>
      </c>
      <c r="G59" s="136">
        <v>7.4999999999999997E-2</v>
      </c>
      <c r="H59" s="136">
        <f>G59*F47</f>
        <v>125.8275</v>
      </c>
    </row>
    <row r="60" spans="5:16">
      <c r="E60" s="136"/>
      <c r="F60" s="136" t="s">
        <v>190</v>
      </c>
      <c r="G60" s="136" t="s">
        <v>191</v>
      </c>
      <c r="H60" s="136">
        <f>H59/F59</f>
        <v>1.6322579389788292E-2</v>
      </c>
    </row>
    <row r="61" spans="5:16">
      <c r="E61" s="136"/>
      <c r="F61" s="136">
        <v>12.94</v>
      </c>
      <c r="G61" s="136">
        <v>13.45</v>
      </c>
      <c r="H61" s="136">
        <f>H60*G56</f>
        <v>0.67738704467621413</v>
      </c>
    </row>
    <row r="62" spans="5:16">
      <c r="E62" s="136" t="s">
        <v>193</v>
      </c>
      <c r="F62" s="136"/>
      <c r="G62" s="136"/>
      <c r="H62" s="136"/>
    </row>
    <row r="63" spans="5:16">
      <c r="E63" s="136">
        <v>0.59599999999999997</v>
      </c>
      <c r="F63" s="142">
        <f>F53</f>
        <v>7708.8</v>
      </c>
      <c r="G63" s="136">
        <v>7.4999999999999997E-2</v>
      </c>
      <c r="H63" s="136">
        <f>G63*F47</f>
        <v>125.8275</v>
      </c>
    </row>
    <row r="64" spans="5:16">
      <c r="E64" s="136"/>
      <c r="F64" s="136" t="s">
        <v>190</v>
      </c>
      <c r="G64" s="136" t="s">
        <v>191</v>
      </c>
      <c r="H64" s="136">
        <f>H63/F63</f>
        <v>1.6322579389788292E-2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0.67738704467621413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nwI2pPl4Ud0uaF67LNvKHzCET4iRkJ+IdHahHl+kfibFDCqei3TuhsRyRw8ZlyTUrKK/SwkG2qsD57OJTtxjcQ==" saltValue="o6uNObYuCXalmZTTfq5Vj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7708.8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 t="s">
        <v>224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2269811.3199999998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1720604.1600000001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16.6*12*F1</f>
        <v>1535592.9600000002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185011.20000000001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1675190.7899999991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1675190.7899999991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1675190.7899999991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2315224.6900000009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104</v>
      </c>
      <c r="B27" s="75" t="s">
        <v>3</v>
      </c>
      <c r="C27" s="86">
        <v>193762.32</v>
      </c>
      <c r="D27" s="81" t="s">
        <v>59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107</v>
      </c>
      <c r="B30" s="75" t="s">
        <v>17</v>
      </c>
      <c r="C30" s="86">
        <f>C27+15143.42</f>
        <v>208905.74000000002</v>
      </c>
      <c r="D30" s="81" t="s">
        <v>65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62"/>
      <c r="G40" s="67"/>
      <c r="H40" s="67"/>
      <c r="L40" s="63"/>
      <c r="M40" s="192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162"/>
      <c r="G41" s="67"/>
      <c r="H41" s="67"/>
      <c r="L41" s="63"/>
      <c r="M41" s="192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162"/>
      <c r="G42" s="67"/>
      <c r="H42" s="67"/>
      <c r="L42" s="63"/>
      <c r="M42" s="192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215116.75999999992</v>
      </c>
      <c r="F45" s="94" t="s">
        <v>166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15712.714758417642</v>
      </c>
      <c r="D46" s="94" t="s">
        <v>167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210653.10000000012</v>
      </c>
      <c r="D47" s="94" t="s">
        <v>165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4463.6599999997998</v>
      </c>
      <c r="D48" s="80" t="s">
        <v>58</v>
      </c>
      <c r="E48" s="68"/>
      <c r="G48" s="67"/>
      <c r="H48" s="67"/>
      <c r="L48" s="63"/>
      <c r="M48" s="192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215116.75999999992</v>
      </c>
      <c r="D49" s="80" t="s">
        <v>58</v>
      </c>
      <c r="E49" s="68"/>
      <c r="G49" s="67"/>
      <c r="H49" s="67"/>
      <c r="L49" s="63"/>
      <c r="M49" s="192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215116.75999999992</v>
      </c>
      <c r="D50" s="80" t="s">
        <v>58</v>
      </c>
      <c r="E50" s="68"/>
      <c r="G50" s="67"/>
      <c r="H50" s="67"/>
      <c r="L50" s="63"/>
      <c r="M50" s="192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425079.96</v>
      </c>
      <c r="F53" s="94" t="s">
        <v>166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25538.619014370383</v>
      </c>
      <c r="D54" s="94" t="s">
        <v>167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414400.19999999995</v>
      </c>
      <c r="D55" s="94" t="s">
        <v>165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10679.760000000068</v>
      </c>
      <c r="D56" s="80" t="s">
        <v>58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425079.96</v>
      </c>
      <c r="D57" s="80" t="s">
        <v>58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425079.96</v>
      </c>
      <c r="D58" s="80" t="s">
        <v>58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2023-03-31T03:10:58Z</dcterms:modified>
</cp:coreProperties>
</file>