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6" i="3"/>
  <c r="G1" i="2" l="1"/>
  <c r="H63" i="2" l="1"/>
  <c r="F63" i="2"/>
  <c r="H59" i="2"/>
  <c r="F59" i="2"/>
  <c r="H53" i="2"/>
  <c r="H54" i="2" s="1"/>
  <c r="H60" i="2" l="1"/>
  <c r="H61" i="2" s="1"/>
  <c r="H64" i="2"/>
  <c r="H65" i="2" s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J101" i="1"/>
  <c r="J96" i="1"/>
  <c r="J95" i="1"/>
  <c r="A97" i="1"/>
  <c r="G94" i="1"/>
  <c r="F94" i="1"/>
  <c r="K94" i="1"/>
  <c r="A109" i="1" l="1"/>
  <c r="F102" i="1"/>
  <c r="A115" i="1"/>
  <c r="D110" i="1"/>
  <c r="A101" i="1"/>
  <c r="A110" i="1"/>
  <c r="A112" i="1"/>
  <c r="A116" i="1"/>
  <c r="A111" i="1"/>
  <c r="A113" i="1"/>
  <c r="F110" i="1"/>
  <c r="A117" i="1"/>
  <c r="A118" i="1"/>
  <c r="A119" i="1"/>
  <c r="A123" i="1"/>
  <c r="D118" i="1"/>
  <c r="A120" i="1"/>
  <c r="A124" i="1"/>
  <c r="F118" i="1"/>
  <c r="A121" i="1"/>
  <c r="A125" i="1"/>
  <c r="A98" i="1"/>
  <c r="F134" i="1"/>
  <c r="A94" i="1"/>
  <c r="A95" i="1"/>
  <c r="A99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H172" i="1"/>
  <c r="F178" i="1"/>
  <c r="H177" i="1"/>
  <c r="F167" i="1"/>
  <c r="H179" i="1"/>
  <c r="H171" i="1"/>
  <c r="F177" i="1"/>
  <c r="F171" i="1"/>
  <c r="H186" i="1"/>
  <c r="H167" i="1"/>
  <c r="H165" i="1"/>
  <c r="H170" i="1"/>
  <c r="F179" i="1"/>
  <c r="F170" i="1"/>
  <c r="F165" i="1"/>
  <c r="F186" i="1"/>
  <c r="F168" i="1"/>
  <c r="H173" i="1"/>
  <c r="F172" i="1"/>
  <c r="H164" i="1"/>
  <c r="H168" i="1"/>
  <c r="F173" i="1"/>
  <c r="F187" i="1"/>
  <c r="H166" i="1"/>
  <c r="F176" i="1"/>
  <c r="F175" i="1"/>
  <c r="F181" i="1"/>
  <c r="H184" i="1"/>
  <c r="F180" i="1"/>
  <c r="H17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<sst xmlns="http://schemas.openxmlformats.org/spreadsheetml/2006/main" count="600" uniqueCount="236">
  <si>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</si>
  <si>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</si>
  <si>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</si>
  <si>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</si>
  <si>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</si>
  <si>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</si>
  <si>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</si>
  <si>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</si>
  <si>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</si>
  <si>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</si>
  <si>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</si>
  <si>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</si>
  <si>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</si>
  <si>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</si>
  <si>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</si>
  <si>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</si>
  <si>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</si>
  <si>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</si>
  <si>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</si>
  <si>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</si>
  <si>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</si>
  <si>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</si>
  <si>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</si>
  <si>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</si>
  <si>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</si>
  <si>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</si>
  <si>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</si>
  <si>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</si>
  <si>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</si>
  <si>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</si>
  <si>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</si>
  <si>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</si>
  <si>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</si>
  <si>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</si>
  <si>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</si>
  <si>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</si>
  <si>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</si>
  <si>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</si>
  <si>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</si>
  <si>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</si>
  <si>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</si>
  <si>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</si>
  <si>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</si>
  <si>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</si>
  <si>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</si>
  <si>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</si>
  <si>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</si>
  <si>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</si>
  <si>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</si>
  <si>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</si>
  <si>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</si>
  <si>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</si>
  <si>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</si>
  <si>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</si>
  <si>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</si>
  <si>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</si>
  <si>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</si>
  <si>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</si>
  <si>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</si>
  <si>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</si>
  <si>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</si>
  <si>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</si>
  <si>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</si>
  <si>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</si>
  <si>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</si>
  <si>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</si>
  <si>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</si>
  <si>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</si>
  <si>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</si>
  <si>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</si>
  <si>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</si>
  <si>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</si>
  <si>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</si>
  <si>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</si>
  <si>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</si>
  <si>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</si>
  <si>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</si>
  <si>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</si>
  <si>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</si>
  <si>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</si>
  <si>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</si>
  <si>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</si>
  <si>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</si>
  <si>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</si>
  <si>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</si>
  <si>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</si>
  <si>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</si>
  <si>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</si>
  <si>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</si>
  <si>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</si>
  <si>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</si>
  <si>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</si>
  <si>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</si>
  <si>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</si>
  <si>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</si>
  <si>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</si>
  <si>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</si>
  <si>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</si>
  <si>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</si>
  <si>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</si>
  <si>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</si>
  <si>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</si>
  <si>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</si>
  <si>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</si>
  <si>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</si>
  <si>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</si>
  <si>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</si>
  <si>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</si>
  <si>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</si>
  <si>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</si>
  <si>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</si>
  <si>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</si>
  <si>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</si>
  <si>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</si>
  <si>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</si>
  <si>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</si>
  <si>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</si>
  <si>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</si>
  <si>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</si>
  <si>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</si>
  <si>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</si>
  <si>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</si>
  <si>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</si>
  <si>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</si>
  <si>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</si>
  <si>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</si>
  <si>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</si>
  <si>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</si>
  <si>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</si>
  <si>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</si>
  <si>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</si>
  <si>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</si>
  <si>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</si>
  <si>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</si>
  <si>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</si>
  <si>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</si>
  <si>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</si>
  <si>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</si>
  <si>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</si>
  <si>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</si>
  <si>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</si>
  <si>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</si>
  <si>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</si>
  <si>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</si>
  <si>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</si>
  <si>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</si>
  <si>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</si>
  <si>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</si>
  <si>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</si>
  <si>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</si>
  <si>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</si>
  <si>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</si>
  <si>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</si>
  <si>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</si>
  <si>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</si>
  <si>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</si>
  <si>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</si>
  <si>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</si>
  <si>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</si>
  <si>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</si>
  <si>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</si>
  <si>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</si>
  <si>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</si>
  <si>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</si>
  <si>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</si>
  <si>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</si>
  <si>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</si>
  <si>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</si>
  <si>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</si>
  <si>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</si>
  <si>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</si>
  <si>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</si>
  <si>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</si>
  <si>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</si>
  <si>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</si>
  <si>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</si>
  <si>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305</t>
  </si>
  <si>
    <t>Работы (услуги) по управлению многоквартирным домом</t>
  </si>
  <si>
    <t>Техническое освидетельствование лифтов.</t>
  </si>
  <si>
    <t>ежегодно</t>
  </si>
  <si>
    <t>ежемесячно</t>
  </si>
  <si>
    <t>площадь дома</t>
  </si>
  <si>
    <t xml:space="preserve">  -  техническое освидетельствование лифтов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</si>
  <si>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</si>
  <si>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</si>
  <si>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305 в части текущего ремонта</t>
  </si>
  <si>
    <t>Техническое обслуживание системы видеонаблюдения.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</si>
  <si>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</si>
  <si>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</si>
  <si>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</si>
  <si>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</si>
  <si>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</si>
  <si>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</si>
  <si>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</si>
  <si>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светильников в лифтовых холлах</t>
  </si>
  <si>
    <t xml:space="preserve">  -  замена переходных дверей 1-го этажа (лестничный марш)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</si>
  <si>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</si>
  <si>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</si>
  <si>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</si>
  <si>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</si>
  <si>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</si>
  <si>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Приобретение и установка светодиодных светильников (44 шт. на лестничном марше и лифтовых площадках).</t>
  </si>
  <si>
    <t>разово</t>
  </si>
  <si>
    <t>Приобретение и замена контейнеров для ТКО (3 шт.).</t>
  </si>
  <si>
    <t>Испытание пожарных кранов (30 шт.).</t>
  </si>
  <si>
    <t>Благоустройство придомовой территории (срезка и вывоз поврежденного асфальтобетона).</t>
  </si>
  <si>
    <t>Благоустройство придомовой территории (приобретение чернозема).</t>
  </si>
  <si>
    <t>АВР 3/22 от 18.05.2022, Решение, счет №188 от 327.04.2022</t>
  </si>
  <si>
    <t>АВР 2/22 от 18.05.2022, Решение, счет №201 от 02.03.2022</t>
  </si>
  <si>
    <t>Замена дверного доводчика (вход в лифтовой холл).</t>
  </si>
  <si>
    <t>АВР 4/22 от 18.05.2022</t>
  </si>
  <si>
    <t>Частичный ремонт лестничного марша (1 этаж).</t>
  </si>
  <si>
    <t>АВР 1/22 от 18.05.2022</t>
  </si>
  <si>
    <t>Приобретение и замена дверных доводчиков (4 шт.).</t>
  </si>
  <si>
    <t>АВР 5/22 от 15.05.2022, Решение, счет №38 от 24.01.2022</t>
  </si>
  <si>
    <t>АВР 6/22 от 15.05.2022, Решение, счет №5528 от 26.04.2022</t>
  </si>
  <si>
    <t>Профилактика блока вызова.</t>
  </si>
  <si>
    <t>Ремонт прибора учета тепловой энергии (ремонт расходомера).</t>
  </si>
  <si>
    <t>АВР 7/22 от 12.09.2022, счет 34243 от 18.05.2022</t>
  </si>
  <si>
    <t>АВР 8/22 от 12.09.2022, счет №171 от 30.06.2022</t>
  </si>
  <si>
    <t>Восстановление интерфейса пожарной безопасности.</t>
  </si>
  <si>
    <t>Замена блока питания системы видеонаблюдения.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</si>
  <si>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</si>
  <si>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</si>
  <si>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>АВР 9/22 от 26.12.2022, счет №43 от 21.07.2022</t>
  </si>
  <si>
    <t>АВР 10/22 от 26.12.2022, Решение, счет №258 от 13.07.2022</t>
  </si>
  <si>
    <t>АВР 11/22 от 26.12.2022, счет №2324 от 13.04.2022</t>
  </si>
  <si>
    <t>АВР 12/22 от 26.12.2022, счет №93 от 27.09.2022</t>
  </si>
  <si>
    <t>АВР 13/22 от 26.12.2022</t>
  </si>
  <si>
    <t>АВР 14/22 от 26.12.2022</t>
  </si>
  <si>
    <t>Замена компенсатора на системе отопления (кв.55).</t>
  </si>
  <si>
    <t>АВР 15/22 от 26.12.2022</t>
  </si>
  <si>
    <t>Благоустройство придомовой территории (разлиновка парковочных мест).</t>
  </si>
  <si>
    <t>Благоустройство придомовой территории (покраска уличных ограждений).</t>
  </si>
  <si>
    <t>АВР 16/22 от 26.12.2022</t>
  </si>
  <si>
    <t>АВР 17/22 от 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</si>
</sst>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5" fillId="0" borderId="0"/>
    <xf numFmtId="0" fontId="24" fillId="0" borderId="0"/>
    <xf numFmtId="0" fontId="37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wrapText="1"/>
    </xf>
    <xf numFmtId="14" fontId="26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0" fillId="0" borderId="1" xfId="1" applyFont="1" applyBorder="1" applyAlignment="1">
      <alignment vertical="center"/>
    </xf>
    <xf numFmtId="0" fontId="28" fillId="2" borderId="1" xfId="1" applyNumberFormat="1" applyFont="1" applyFill="1" applyBorder="1" applyAlignment="1">
      <alignment horizontal="center" wrapText="1"/>
    </xf>
    <xf numFmtId="0" fontId="33" fillId="0" borderId="0" xfId="0" applyFont="1"/>
    <xf numFmtId="4" fontId="26" fillId="0" borderId="0" xfId="0" applyNumberFormat="1" applyFont="1"/>
    <xf numFmtId="4" fontId="28" fillId="2" borderId="1" xfId="0" applyNumberFormat="1" applyFont="1" applyFill="1" applyBorder="1" applyAlignment="1" applyProtection="1">
      <alignment horizontal="center" wrapText="1"/>
    </xf>
    <xf numFmtId="4" fontId="28" fillId="2" borderId="1" xfId="1" applyNumberFormat="1" applyFont="1" applyFill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35" fillId="0" borderId="0" xfId="0" applyFont="1" applyAlignment="1">
      <alignment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left" wrapText="1"/>
    </xf>
    <xf numFmtId="4" fontId="26" fillId="0" borderId="0" xfId="0" applyNumberFormat="1" applyFont="1" applyAlignment="1">
      <alignment vertical="center"/>
    </xf>
    <xf numFmtId="4" fontId="34" fillId="0" borderId="0" xfId="0" applyNumberFormat="1" applyFont="1" applyBorder="1" applyAlignment="1">
      <alignment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4" fillId="0" borderId="0" xfId="2" applyFill="1" applyBorder="1" applyAlignment="1"/>
    <xf numFmtId="0" fontId="0" fillId="0" borderId="0" xfId="0" applyBorder="1"/>
    <xf numFmtId="0" fontId="36" fillId="0" borderId="0" xfId="2" applyFont="1" applyFill="1" applyBorder="1" applyAlignment="1"/>
    <xf numFmtId="4" fontId="36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8" fillId="3" borderId="0" xfId="0" applyFont="1" applyFill="1" applyBorder="1" applyAlignment="1">
      <alignment horizontal="left" vertical="center" wrapText="1"/>
    </xf>
    <xf numFmtId="4" fontId="38" fillId="3" borderId="0" xfId="1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4" fontId="3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8" fillId="3" borderId="1" xfId="1" applyNumberFormat="1" applyFont="1" applyFill="1" applyBorder="1" applyAlignment="1">
      <alignment horizontal="center" vertical="center" wrapText="1"/>
    </xf>
    <xf numFmtId="4" fontId="23" fillId="0" borderId="0" xfId="4" applyNumberFormat="1" applyFill="1" applyBorder="1" applyAlignment="1"/>
    <xf numFmtId="0" fontId="36" fillId="0" borderId="0" xfId="4" applyFont="1" applyFill="1" applyBorder="1" applyAlignment="1"/>
    <xf numFmtId="0" fontId="23" fillId="0" borderId="0" xfId="4" applyFill="1" applyBorder="1" applyAlignment="1"/>
    <xf numFmtId="4" fontId="36" fillId="0" borderId="0" xfId="4" applyNumberFormat="1" applyFont="1" applyFill="1" applyBorder="1" applyAlignment="1"/>
    <xf numFmtId="0" fontId="33" fillId="0" borderId="0" xfId="0" applyFont="1" applyAlignment="1">
      <alignment horizontal="left" vertical="center" textRotation="90"/>
    </xf>
    <xf numFmtId="0" fontId="40" fillId="0" borderId="0" xfId="0" applyFont="1" applyFill="1" applyBorder="1" applyAlignment="1">
      <alignment horizontal="left" vertical="center"/>
    </xf>
    <xf numFmtId="4" fontId="34" fillId="0" borderId="0" xfId="0" applyNumberFormat="1" applyFont="1"/>
    <xf numFmtId="0" fontId="34" fillId="0" borderId="0" xfId="0" applyFont="1"/>
    <xf numFmtId="4" fontId="34" fillId="0" borderId="0" xfId="0" applyNumberFormat="1" applyFont="1" applyFill="1"/>
    <xf numFmtId="0" fontId="26" fillId="0" borderId="0" xfId="0" applyFont="1" applyFill="1"/>
    <xf numFmtId="0" fontId="32" fillId="0" borderId="0" xfId="0" applyFont="1" applyFill="1" applyBorder="1" applyAlignment="1">
      <alignment horizontal="left"/>
    </xf>
    <xf numFmtId="0" fontId="34" fillId="0" borderId="0" xfId="0" applyFont="1" applyFill="1"/>
    <xf numFmtId="4" fontId="42" fillId="0" borderId="0" xfId="0" applyNumberFormat="1" applyFont="1"/>
    <xf numFmtId="0" fontId="42" fillId="0" borderId="0" xfId="0" applyFont="1"/>
    <xf numFmtId="0" fontId="31" fillId="0" borderId="0" xfId="0" applyFont="1" applyBorder="1"/>
    <xf numFmtId="0" fontId="26" fillId="0" borderId="0" xfId="0" applyFont="1" applyBorder="1"/>
    <xf numFmtId="0" fontId="2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8" fillId="0" borderId="0" xfId="1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1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2" fillId="0" borderId="0" xfId="0" applyFont="1" applyBorder="1" applyProtection="1"/>
    <xf numFmtId="0" fontId="28" fillId="0" borderId="0" xfId="1" applyFont="1" applyBorder="1" applyAlignment="1" applyProtection="1">
      <alignment wrapText="1"/>
    </xf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" fontId="28" fillId="4" borderId="0" xfId="0" applyNumberFormat="1" applyFont="1" applyFill="1" applyBorder="1" applyAlignment="1" applyProtection="1">
      <alignment horizontal="center" wrapText="1"/>
    </xf>
    <xf numFmtId="0" fontId="29" fillId="0" borderId="0" xfId="0" applyFont="1" applyBorder="1" applyProtection="1"/>
    <xf numFmtId="0" fontId="41" fillId="0" borderId="0" xfId="0" applyFont="1" applyBorder="1" applyProtection="1"/>
    <xf numFmtId="4" fontId="28" fillId="4" borderId="0" xfId="1" applyNumberFormat="1" applyFont="1" applyFill="1" applyBorder="1" applyAlignment="1" applyProtection="1">
      <alignment horizontal="center" wrapText="1"/>
    </xf>
    <xf numFmtId="4" fontId="28" fillId="5" borderId="0" xfId="0" applyNumberFormat="1" applyFont="1" applyFill="1" applyBorder="1" applyAlignment="1" applyProtection="1">
      <alignment horizontal="center" wrapText="1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2" fontId="29" fillId="5" borderId="0" xfId="0" applyNumberFormat="1" applyFont="1" applyFill="1" applyBorder="1" applyAlignment="1" applyProtection="1">
      <alignment horizontal="center"/>
      <protection locked="0"/>
    </xf>
    <xf numFmtId="4" fontId="28" fillId="5" borderId="0" xfId="1" applyNumberFormat="1" applyFont="1" applyFill="1" applyBorder="1" applyAlignment="1" applyProtection="1">
      <alignment horizontal="center" wrapText="1"/>
      <protection locked="0"/>
    </xf>
    <xf numFmtId="0" fontId="28" fillId="5" borderId="0" xfId="1" applyFont="1" applyFill="1" applyBorder="1" applyAlignment="1" applyProtection="1">
      <alignment horizontal="center" wrapText="1"/>
      <protection locked="0"/>
    </xf>
    <xf numFmtId="2" fontId="28" fillId="5" borderId="0" xfId="1" applyNumberFormat="1" applyFont="1" applyFill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4" fontId="2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4" fontId="28" fillId="4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</xf>
    <xf numFmtId="4" fontId="29" fillId="0" borderId="1" xfId="0" applyNumberFormat="1" applyFont="1" applyBorder="1" applyAlignment="1">
      <alignment horizontal="center"/>
    </xf>
    <xf numFmtId="4" fontId="28" fillId="5" borderId="0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4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4" fillId="0" borderId="0" xfId="0" applyFont="1"/>
    <xf numFmtId="0" fontId="28" fillId="5" borderId="1" xfId="1" applyNumberFormat="1" applyFont="1" applyFill="1" applyBorder="1" applyAlignment="1" applyProtection="1">
      <alignment horizontal="center" wrapText="1"/>
      <protection locked="0"/>
    </xf>
    <xf numFmtId="4" fontId="28" fillId="5" borderId="1" xfId="1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Border="1"/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4" fontId="28" fillId="0" borderId="0" xfId="0" applyNumberFormat="1" applyFont="1"/>
    <xf numFmtId="4" fontId="28" fillId="0" borderId="0" xfId="0" applyNumberFormat="1" applyFont="1" applyFill="1"/>
    <xf numFmtId="0" fontId="45" fillId="2" borderId="0" xfId="0" applyFont="1" applyFill="1" applyAlignment="1">
      <alignment horizontal="right" wrapText="1" indent="1"/>
    </xf>
    <xf numFmtId="0" fontId="26" fillId="0" borderId="0" xfId="0" applyFont="1" applyAlignment="1" applyProtection="1">
      <alignment vertical="center"/>
      <protection locked="0"/>
    </xf>
    <xf numFmtId="14" fontId="26" fillId="0" borderId="0" xfId="0" applyNumberFormat="1" applyFont="1" applyProtection="1">
      <protection locked="0"/>
    </xf>
    <xf numFmtId="0" fontId="22" fillId="0" borderId="0" xfId="6" applyFill="1" applyBorder="1" applyAlignment="1">
      <alignment horizontal="center"/>
    </xf>
    <xf numFmtId="0" fontId="36" fillId="0" borderId="0" xfId="6" applyFont="1" applyFill="1" applyBorder="1" applyAlignment="1">
      <alignment horizontal="center"/>
    </xf>
    <xf numFmtId="4" fontId="36" fillId="0" borderId="0" xfId="6" applyNumberFormat="1" applyFont="1" applyFill="1" applyBorder="1" applyAlignment="1"/>
    <xf numFmtId="0" fontId="0" fillId="0" borderId="0" xfId="0" applyFill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2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9" fillId="0" borderId="0" xfId="0" applyFont="1" applyBorder="1" applyAlignment="1">
      <alignment wrapText="1"/>
    </xf>
    <xf numFmtId="4" fontId="28" fillId="0" borderId="0" xfId="0" applyNumberFormat="1" applyFont="1" applyBorder="1"/>
    <xf numFmtId="0" fontId="20" fillId="0" borderId="0" xfId="2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0" fillId="0" borderId="0" xfId="0" applyNumberFormat="1" applyBorder="1" applyAlignment="1">
      <alignment horizontal="center"/>
    </xf>
    <xf numFmtId="4" fontId="38" fillId="3" borderId="0" xfId="11" applyNumberFormat="1" applyFont="1" applyFill="1" applyBorder="1" applyAlignment="1">
      <alignment horizontal="left" vertical="center" wrapText="1"/>
    </xf>
    <xf numFmtId="4" fontId="47" fillId="0" borderId="0" xfId="0" applyNumberFormat="1" applyFont="1"/>
    <xf numFmtId="0" fontId="0" fillId="0" borderId="0" xfId="0" applyBorder="1" applyAlignment="1">
      <alignment horizontal="center"/>
    </xf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center"/>
    </xf>
    <xf numFmtId="1" fontId="18" fillId="0" borderId="0" xfId="7" applyNumberFormat="1" applyFill="1" applyBorder="1" applyAlignment="1">
      <alignment horizontal="center"/>
    </xf>
    <xf numFmtId="4" fontId="36" fillId="0" borderId="0" xfId="7" applyNumberFormat="1" applyFont="1" applyFill="1" applyBorder="1" applyAlignment="1"/>
    <xf numFmtId="0" fontId="9" fillId="0" borderId="0" xfId="8" applyFont="1" applyFill="1"/>
    <xf numFmtId="0" fontId="13" fillId="0" borderId="0" xfId="6" applyFont="1" applyFill="1" applyBorder="1" applyAlignment="1"/>
    <xf numFmtId="0" fontId="46" fillId="0" borderId="0" xfId="5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9" fillId="0" borderId="0" xfId="7" applyFont="1" applyFill="1" applyBorder="1" applyAlignment="1">
      <alignment wrapText="1"/>
    </xf>
    <xf numFmtId="0" fontId="14" fillId="0" borderId="0" xfId="7" applyFont="1" applyFill="1" applyBorder="1" applyAlignment="1">
      <alignment horizontal="center"/>
    </xf>
    <xf numFmtId="0" fontId="14" fillId="0" borderId="0" xfId="7" applyFont="1" applyFill="1" applyBorder="1" applyAlignment="1">
      <alignment wrapText="1"/>
    </xf>
    <xf numFmtId="0" fontId="7" fillId="0" borderId="0" xfId="8" applyFont="1" applyFill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22" fillId="0" borderId="0" xfId="5" applyFill="1" applyBorder="1" applyAlignment="1">
      <alignment horizontal="center"/>
    </xf>
    <xf numFmtId="4" fontId="36" fillId="0" borderId="0" xfId="5" applyNumberFormat="1" applyFont="1" applyFill="1" applyBorder="1" applyAlignment="1"/>
    <xf numFmtId="4" fontId="36" fillId="0" borderId="0" xfId="5" applyNumberFormat="1" applyFont="1" applyFill="1" applyBorder="1" applyAlignment="1">
      <alignment horizontal="left"/>
    </xf>
    <xf numFmtId="0" fontId="8" fillId="0" borderId="0" xfId="6" applyFont="1" applyFill="1" applyBorder="1" applyAlignment="1"/>
    <xf numFmtId="0" fontId="8" fillId="0" borderId="0" xfId="6" applyFont="1" applyFill="1" applyBorder="1" applyAlignment="1">
      <alignment horizontal="center"/>
    </xf>
    <xf numFmtId="1" fontId="22" fillId="0" borderId="0" xfId="6" applyNumberForma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3" fillId="0" borderId="0" xfId="7" applyFont="1" applyFill="1" applyBorder="1" applyAlignment="1">
      <alignment wrapText="1"/>
    </xf>
    <xf numFmtId="0" fontId="5" fillId="0" borderId="0" xfId="7" applyFont="1" applyFill="1" applyBorder="1" applyAlignment="1">
      <alignment horizontal="center"/>
    </xf>
    <xf numFmtId="0" fontId="1" fillId="0" borderId="0" xfId="8" applyFont="1" applyFill="1"/>
    <xf numFmtId="0" fontId="4" fillId="0" borderId="0" xfId="6" applyFont="1" applyFill="1" applyBorder="1" applyAlignment="1"/>
    <xf numFmtId="0" fontId="4" fillId="0" borderId="0" xfId="6" applyFont="1" applyFill="1" applyBorder="1" applyAlignment="1">
      <alignment horizontal="center"/>
    </xf>
    <xf numFmtId="0" fontId="2" fillId="0" borderId="0" xfId="15" applyFont="1" applyFill="1" applyBorder="1" applyAlignment="1"/>
    <xf numFmtId="0" fontId="2" fillId="0" borderId="0" xfId="16" applyFont="1" applyFill="1" applyBorder="1" applyAlignment="1">
      <alignment horizontal="center"/>
    </xf>
    <xf numFmtId="0" fontId="2" fillId="0" borderId="0" xfId="16" applyFill="1" applyBorder="1" applyAlignment="1">
      <alignment horizontal="center"/>
    </xf>
    <xf numFmtId="4" fontId="36" fillId="0" borderId="0" xfId="16" applyNumberFormat="1" applyFont="1" applyFill="1" applyBorder="1" applyAlignment="1"/>
    <xf numFmtId="0" fontId="36" fillId="0" borderId="0" xfId="5" applyFont="1" applyFill="1" applyBorder="1" applyAlignment="1"/>
    <xf numFmtId="0" fontId="0" fillId="0" borderId="0" xfId="0" applyFont="1" applyFill="1"/>
    <xf numFmtId="0" fontId="19" fillId="0" borderId="0" xfId="5" applyFont="1" applyFill="1" applyBorder="1" applyAlignment="1"/>
    <xf numFmtId="4" fontId="22" fillId="0" borderId="0" xfId="6" applyNumberFormat="1" applyFill="1" applyBorder="1" applyAlignment="1"/>
    <xf numFmtId="0" fontId="1" fillId="0" borderId="0" xfId="10" applyFont="1" applyFill="1" applyBorder="1" applyAlignment="1"/>
    <xf numFmtId="0" fontId="1" fillId="0" borderId="0" xfId="6" applyFont="1" applyFill="1" applyBorder="1" applyAlignment="1">
      <alignment horizontal="center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horizontal="center"/>
    </xf>
    <xf numFmtId="4" fontId="28" fillId="0" borderId="0" xfId="1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left" wrapText="1"/>
    </xf>
    <xf numFmtId="0" fontId="28" fillId="0" borderId="1" xfId="1" applyFont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28" fillId="3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/>
    </xf>
    <xf numFmtId="4" fontId="30" fillId="0" borderId="1" xfId="1" applyNumberFormat="1" applyFont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left" vertical="center" textRotation="90" wrapText="1"/>
      <protection locked="0"/>
    </xf>
    <xf numFmtId="0" fontId="33" fillId="0" borderId="0" xfId="0" applyFont="1" applyAlignment="1">
      <alignment horizontal="left" vertical="center" textRotation="90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 wrapText="1"/>
    </xf>
    <xf numFmtId="0" fontId="28" fillId="0" borderId="4" xfId="0" applyFont="1" applyBorder="1" applyAlignment="1" applyProtection="1">
      <alignment horizontal="left" wrapText="1"/>
    </xf>
    <xf numFmtId="0" fontId="28" fillId="0" borderId="2" xfId="1" applyFont="1" applyBorder="1" applyAlignment="1">
      <alignment horizontal="left" wrapText="1"/>
    </xf>
    <xf numFmtId="0" fontId="28" fillId="0" borderId="3" xfId="1" applyFont="1" applyBorder="1" applyAlignment="1">
      <alignment horizontal="left" wrapText="1"/>
    </xf>
    <xf numFmtId="0" fontId="28" fillId="0" borderId="4" xfId="1" applyFont="1" applyBorder="1" applyAlignment="1">
      <alignment horizontal="left" wrapText="1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textRotation="90"/>
      <protection locked="0"/>
    </xf>
    <xf numFmtId="0" fontId="33" fillId="0" borderId="0" xfId="0" applyFont="1" applyAlignment="1" applyProtection="1">
      <alignment horizontal="left" vertical="center" textRotation="90"/>
      <protection locked="0"/>
    </xf>
    <xf numFmtId="0" fontId="28" fillId="0" borderId="1" xfId="0" applyFont="1" applyBorder="1" applyAlignment="1">
      <alignment horizontal="left" wrapText="1"/>
    </xf>
    <xf numFmtId="0" fontId="28" fillId="0" borderId="1" xfId="1" applyFont="1" applyBorder="1" applyAlignment="1">
      <alignment horizontal="left" vertical="center" wrapText="1"/>
    </xf>
    <xf numFmtId="0" fontId="33" fillId="0" borderId="0" xfId="0" applyFont="1" applyAlignment="1" applyProtection="1">
      <alignment horizontal="center" vertical="center" textRotation="90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33" fillId="0" borderId="0" xfId="0" applyFont="1" applyBorder="1" applyAlignment="1" applyProtection="1">
      <alignment horizontal="left" vertical="center" textRotation="90"/>
      <protection locked="0"/>
    </xf>
    <xf numFmtId="0" fontId="33" fillId="0" borderId="0" xfId="0" applyFont="1" applyBorder="1" applyAlignment="1" applyProtection="1">
      <alignment horizontal="left" vertical="center" textRotation="90" wrapText="1"/>
      <protection locked="0"/>
    </xf>
    <xf numFmtId="0" fontId="43" fillId="0" borderId="0" xfId="0" applyFont="1" applyBorder="1" applyAlignment="1" applyProtection="1">
      <alignment horizontal="center" vertical="center" textRotation="90" wrapText="1"/>
      <protection locked="0"/>
    </xf>
  </cellXfs>
  <cellStyles count="60">
    <cellStyle name="Обычный" xfId="0" builtinId="0"/>
    <cellStyle name="Обычный 2" xfId="1"/>
    <cellStyle name="Обычный 2 2" xfId="3"/>
    <cellStyle name="Обычный 2 3" xfId="8"/>
    <cellStyle name="Обычный 2 3 2" xfId="27"/>
    <cellStyle name="Обычный 2 3 3" xfId="35"/>
    <cellStyle name="Обычный 2 3 4" xfId="53"/>
    <cellStyle name="Обычный 2 3 5" xfId="18"/>
    <cellStyle name="Обычный 2 4" xfId="21"/>
    <cellStyle name="Обычный 2 4 2" xfId="40"/>
    <cellStyle name="Обычный 2 5" xfId="28"/>
    <cellStyle name="Обычный 2 5 2" xfId="11"/>
    <cellStyle name="Обычный 2 5 2 2" xfId="55"/>
    <cellStyle name="Обычный 2 6" xfId="47"/>
    <cellStyle name="Обычный 2 7" xfId="56"/>
    <cellStyle name="Обычный 2 8" xfId="12"/>
    <cellStyle name="Обычный 3" xfId="2"/>
    <cellStyle name="Обычный 3 2" xfId="22"/>
    <cellStyle name="Обычный 3 2 2" xfId="33"/>
    <cellStyle name="Обычный 3 3" xfId="32"/>
    <cellStyle name="Обычный 3 4" xfId="36"/>
    <cellStyle name="Обычный 3 5" xfId="41"/>
    <cellStyle name="Обычный 3 6" xfId="9"/>
    <cellStyle name="Обычный 3 6 2" xfId="54"/>
    <cellStyle name="Обычный 3 6 3" xfId="29"/>
    <cellStyle name="Обычный 3 7" xfId="48"/>
    <cellStyle name="Обычный 3 8" xfId="57"/>
    <cellStyle name="Обычный 3 9" xfId="13"/>
    <cellStyle name="Обычный 4" xfId="4"/>
    <cellStyle name="Обычный 4 2" xfId="6"/>
    <cellStyle name="Обычный 4 2 2" xfId="20"/>
    <cellStyle name="Обычный 4 2 2 2" xfId="46"/>
    <cellStyle name="Обычный 4 2 3" xfId="10"/>
    <cellStyle name="Обычный 4 2 3 2" xfId="25"/>
    <cellStyle name="Обычный 4 2 4" xfId="37"/>
    <cellStyle name="Обычный 4 2 5" xfId="51"/>
    <cellStyle name="Обычный 4 2 6" xfId="16"/>
    <cellStyle name="Обычный 4 3" xfId="23"/>
    <cellStyle name="Обычный 4 3 2" xfId="42"/>
    <cellStyle name="Обычный 4 4" xfId="30"/>
    <cellStyle name="Обычный 4 5" xfId="49"/>
    <cellStyle name="Обычный 4 6" xfId="58"/>
    <cellStyle name="Обычный 4 7" xfId="14"/>
    <cellStyle name="Обычный 5" xfId="5"/>
    <cellStyle name="Обычный 5 2" xfId="19"/>
    <cellStyle name="Обычный 5 2 2" xfId="38"/>
    <cellStyle name="Обычный 5 3" xfId="7"/>
    <cellStyle name="Обычный 5 3 2" xfId="26"/>
    <cellStyle name="Обычный 5 3 3" xfId="43"/>
    <cellStyle name="Обычный 5 3 4" xfId="52"/>
    <cellStyle name="Обычный 5 3 5" xfId="17"/>
    <cellStyle name="Обычный 5 4" xfId="24"/>
    <cellStyle name="Обычный 5 5" xfId="31"/>
    <cellStyle name="Обычный 5 6" xfId="50"/>
    <cellStyle name="Обычный 5 7" xfId="59"/>
    <cellStyle name="Обычный 5 8" xfId="15"/>
    <cellStyle name="Обычный 6" xfId="34"/>
    <cellStyle name="Обычный 6 2" xfId="44"/>
    <cellStyle name="Обычный 7" xfId="39"/>
    <cellStyle name="Обычный 7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00" sqref="A200:G20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4" t="s">
        <v>176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44562</v>
      </c>
      <c r="K4" s="109"/>
      <c r="L4" s="109"/>
      <c r="M4" s="109"/>
      <c r="N4" s="109"/>
    </row>
    <row r="5" spans="1:18">
      <c r="A5" s="1" t="s">
        <v>1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5"/>
      <c r="M8" s="109"/>
      <c r="N8" s="109"/>
      <c r="O8" s="70" t="s">
        <v>82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5"/>
      <c r="M9" s="109"/>
      <c r="N9" s="109"/>
      <c r="O9" s="70" t="s">
        <v>83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1920459.4000000001</v>
      </c>
      <c r="K10" s="109"/>
      <c r="L10" s="195"/>
      <c r="M10" s="109"/>
      <c r="N10" s="109"/>
      <c r="O10" s="70" t="s">
        <v>84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2001464.4000000001</v>
      </c>
      <c r="K11" s="109"/>
      <c r="L11" s="195"/>
      <c r="M11" s="109"/>
      <c r="N11" s="109"/>
      <c r="O11" s="70" t="s">
        <v>85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1639208.4000000001</v>
      </c>
      <c r="K12" s="109"/>
      <c r="L12" s="195"/>
      <c r="M12" s="109"/>
      <c r="N12" s="109"/>
      <c r="O12" s="70" t="s">
        <v>86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362256</v>
      </c>
      <c r="K13" s="109"/>
      <c r="L13" s="195"/>
      <c r="M13" s="109"/>
      <c r="N13" s="109"/>
      <c r="O13" s="70" t="s">
        <v>87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0</v>
      </c>
      <c r="K14" s="109"/>
      <c r="L14" s="195"/>
      <c r="M14" s="109"/>
      <c r="N14" s="109"/>
      <c r="O14" s="70" t="s">
        <v>88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1946623.290000001</v>
      </c>
      <c r="K15" s="109"/>
      <c r="L15" s="195"/>
      <c r="M15" s="109"/>
      <c r="N15" s="109"/>
      <c r="O15" s="70" t="s">
        <v>89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1946623.290000001</v>
      </c>
      <c r="K16" s="109"/>
      <c r="L16" s="195"/>
      <c r="M16" s="109"/>
      <c r="N16" s="109"/>
      <c r="O16" s="70" t="s">
        <v>90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5"/>
      <c r="M17" s="109"/>
      <c r="N17" s="109"/>
      <c r="O17" s="70" t="s">
        <v>91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5"/>
      <c r="M18" s="109"/>
      <c r="N18" s="109"/>
      <c r="O18" s="70" t="s">
        <v>92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5"/>
      <c r="M19" s="109"/>
      <c r="N19" s="109"/>
      <c r="O19" s="70" t="s">
        <v>93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5"/>
      <c r="M20" s="109"/>
      <c r="N20" s="109"/>
      <c r="O20" s="70" t="s">
        <v>94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1946623.290000001</v>
      </c>
      <c r="K21" s="109"/>
      <c r="L21" s="195"/>
      <c r="M21" s="109"/>
      <c r="N21" s="109"/>
      <c r="O21" s="70" t="s">
        <v>95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5"/>
      <c r="M22" s="109"/>
      <c r="N22" s="109"/>
      <c r="O22" s="70" t="s">
        <v>96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5"/>
      <c r="M23" s="109"/>
      <c r="N23" s="109"/>
      <c r="O23" s="70" t="s">
        <v>97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1975300.5099999993</v>
      </c>
      <c r="K24" s="109"/>
      <c r="L24" s="19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7" t="s">
        <v>19</v>
      </c>
      <c r="B27" s="187"/>
      <c r="C27" s="187"/>
      <c r="D27" s="187"/>
      <c r="E27" s="187"/>
      <c r="F27" s="187" t="s">
        <v>20</v>
      </c>
      <c r="G27" s="187"/>
      <c r="H27" s="5" t="s">
        <v>57</v>
      </c>
      <c r="I27" s="187" t="s">
        <v>21</v>
      </c>
      <c r="J27" s="187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4">
        <f>VLOOKUP(A28,ПТО!$A$39:$D$53,2,FALSE)</f>
        <v>556968.6</v>
      </c>
      <c r="G28" s="184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4">
        <f>VLOOKUP(A29,ПТО!$A$39:$D$53,2,FALSE)</f>
        <v>169354.68</v>
      </c>
      <c r="G29" s="184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4">
        <f>VLOOKUP(A30,ПТО!$A$39:$D$53,2,FALSE)</f>
        <v>79696.320000000007</v>
      </c>
      <c r="G30" s="184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4">
        <f>VLOOKUP(A31,ПТО!$A$39:$D$53,2,FALSE)</f>
        <v>108676.8</v>
      </c>
      <c r="G31" s="184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9"/>
      <c r="L32" s="19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4">
        <f>VLOOKUP(A33,ПТО!$A$39:$D$53,2,FALSE)</f>
        <v>70639.92</v>
      </c>
      <c r="G33" s="184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4">
        <f>VLOOKUP(A34,ПТО!$A$39:$D$53,2,FALSE)</f>
        <v>201052.08</v>
      </c>
      <c r="G34" s="184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9" t="str">
        <f>ПТО!A46</f>
        <v>Работы (услуги) по управлению многоквартирным домом</v>
      </c>
      <c r="B35" s="179"/>
      <c r="C35" s="179"/>
      <c r="D35" s="179"/>
      <c r="E35" s="179"/>
      <c r="F35" s="184">
        <f>VLOOKUP(A35,ПТО!$A$39:$D$53,2,FALSE)</f>
        <v>452820</v>
      </c>
      <c r="G35" s="184"/>
      <c r="H35" s="42" t="str">
        <f>VLOOKUP(A35,ПТО!$A$39:$D$53,3,FALSE)</f>
        <v>Ежемесячно</v>
      </c>
      <c r="I35" s="180">
        <f>VLOOKUP(A35,ПТО!$A$39:$D$53,4,FALSE)</f>
        <v>12</v>
      </c>
      <c r="J35" s="180"/>
      <c r="K35" s="109"/>
      <c r="L35" s="196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79">
        <f>ПТО!A47</f>
        <v>0</v>
      </c>
      <c r="B36" s="179"/>
      <c r="C36" s="179"/>
      <c r="D36" s="179"/>
      <c r="E36" s="179"/>
      <c r="F36" s="184" t="e">
        <f>VLOOKUP(A36,ПТО!$A$39:$D$53,2,FALSE)</f>
        <v>#N/A</v>
      </c>
      <c r="G36" s="184"/>
      <c r="H36" s="42" t="e">
        <f>VLOOKUP(A36,ПТО!$A$39:$D$53,3,FALSE)</f>
        <v>#N/A</v>
      </c>
      <c r="I36" s="180" t="e">
        <f>VLOOKUP(A36,ПТО!$A$39:$D$53,4,FALSE)</f>
        <v>#N/A</v>
      </c>
      <c r="J36" s="180"/>
      <c r="K36" s="109"/>
      <c r="L36" s="196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9">
        <f>ПТО!A48</f>
        <v>0</v>
      </c>
      <c r="B37" s="179"/>
      <c r="C37" s="179"/>
      <c r="D37" s="179"/>
      <c r="E37" s="179"/>
      <c r="F37" s="184" t="e">
        <f>VLOOKUP(A37,ПТО!$A$39:$D$53,2,FALSE)</f>
        <v>#N/A</v>
      </c>
      <c r="G37" s="184"/>
      <c r="H37" s="42" t="e">
        <f>VLOOKUP(A37,ПТО!$A$39:$D$53,3,FALSE)</f>
        <v>#N/A</v>
      </c>
      <c r="I37" s="180" t="e">
        <f>VLOOKUP(A37,ПТО!$A$39:$D$53,4,FALSE)</f>
        <v>#N/A</v>
      </c>
      <c r="J37" s="180"/>
      <c r="K37" s="109"/>
      <c r="L37" s="196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9"/>
      <c r="L38" s="196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9"/>
      <c r="L39" s="196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9"/>
      <c r="L40" s="196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9"/>
      <c r="L41" s="196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9"/>
      <c r="L42" s="196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79" t="str">
        <f>ПТО!A2</f>
        <v>Техническое освидетельствование лифтов.</v>
      </c>
      <c r="B43" s="179"/>
      <c r="C43" s="179"/>
      <c r="D43" s="179"/>
      <c r="E43" s="179"/>
      <c r="F43" s="184">
        <f>VLOOKUP(A43,ПТО!$A$2:$D$31,4,FALSE)</f>
        <v>16200</v>
      </c>
      <c r="G43" s="184"/>
      <c r="H43" s="19" t="str">
        <f>VLOOKUP(A43,ПТО!$A$2:$D$31,2,FALSE)</f>
        <v>ежегодно</v>
      </c>
      <c r="I43" s="180">
        <f>VLOOKUP(A43,ПТО!$A$2:$D$31,3,FALSE)</f>
        <v>2</v>
      </c>
      <c r="J43" s="180"/>
      <c r="K43" s="109"/>
      <c r="L43" s="196"/>
      <c r="M43" s="116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9" t="str">
        <f>ПТО!A3</f>
        <v>Техническое обслуживание системы видеонаблюдения.</v>
      </c>
      <c r="B44" s="179"/>
      <c r="C44" s="179"/>
      <c r="D44" s="179"/>
      <c r="E44" s="179"/>
      <c r="F44" s="184">
        <f>VLOOKUP(A44,ПТО!$A$2:$D$31,4,FALSE)</f>
        <v>20400</v>
      </c>
      <c r="G44" s="184"/>
      <c r="H44" s="25" t="str">
        <f>VLOOKUP(A44,ПТО!$A$2:$D$31,2,FALSE)</f>
        <v>ежемесячно</v>
      </c>
      <c r="I44" s="180">
        <f>VLOOKUP(A44,ПТО!$A$2:$D$31,3,FALSE)</f>
        <v>12</v>
      </c>
      <c r="J44" s="180"/>
      <c r="K44" s="109"/>
      <c r="L44" s="196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79" t="str">
        <f>ПТО!A4</f>
        <v>Частичный ремонт лестничного марша (1 этаж).</v>
      </c>
      <c r="B45" s="179"/>
      <c r="C45" s="179"/>
      <c r="D45" s="179"/>
      <c r="E45" s="179"/>
      <c r="F45" s="184">
        <f>VLOOKUP(A45,ПТО!$A$2:$D$31,4,FALSE)</f>
        <v>4200</v>
      </c>
      <c r="G45" s="184"/>
      <c r="H45" s="25" t="str">
        <f>VLOOKUP(A45,ПТО!$A$2:$D$31,2,FALSE)</f>
        <v>разово</v>
      </c>
      <c r="I45" s="180">
        <f>VLOOKUP(A45,ПТО!$A$2:$D$31,3,FALSE)</f>
        <v>1</v>
      </c>
      <c r="J45" s="180"/>
      <c r="K45" s="109"/>
      <c r="L45" s="196"/>
      <c r="M45" s="116"/>
      <c r="N45" s="109"/>
      <c r="O45" s="23" t="str">
        <f t="shared" si="1"/>
        <v>Частичный ремонт лестничного марша (1 этаж).</v>
      </c>
      <c r="R45" s="22" t="s">
        <v>72</v>
      </c>
    </row>
    <row r="46" spans="1:18" ht="51" customHeight="1" outlineLevel="1">
      <c r="A46" s="179" t="str">
        <f>ПТО!A5</f>
        <v>Приобретение и замена контейнеров для ТКО (3 шт.).</v>
      </c>
      <c r="B46" s="179"/>
      <c r="C46" s="179"/>
      <c r="D46" s="179"/>
      <c r="E46" s="179"/>
      <c r="F46" s="184">
        <f>VLOOKUP(A46,ПТО!$A$2:$D$31,4,FALSE)</f>
        <v>10506.1</v>
      </c>
      <c r="G46" s="184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9"/>
      <c r="L46" s="196"/>
      <c r="M46" s="116"/>
      <c r="N46" s="109"/>
      <c r="O46" s="23" t="str">
        <f t="shared" si="1"/>
        <v>Приобретение и замена контейнеров для ТКО (3 шт.).</v>
      </c>
      <c r="R46" s="22" t="s">
        <v>72</v>
      </c>
    </row>
    <row r="47" spans="1:18" ht="51" customHeight="1" outlineLevel="1">
      <c r="A47" s="179" t="str">
        <f>ПТО!A6</f>
        <v>Благоустройство придомовой территории (приобретение чернозема).</v>
      </c>
      <c r="B47" s="179"/>
      <c r="C47" s="179"/>
      <c r="D47" s="179"/>
      <c r="E47" s="179"/>
      <c r="F47" s="184">
        <f>VLOOKUP(A47,ПТО!$A$2:$D$31,4,FALSE)</f>
        <v>5585.9</v>
      </c>
      <c r="G47" s="184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9"/>
      <c r="L47" s="196"/>
      <c r="M47" s="116"/>
      <c r="N47" s="109"/>
      <c r="O47" s="23" t="str">
        <f t="shared" si="1"/>
        <v>Благоустройство придомовой территории (приобретение чернозема).</v>
      </c>
      <c r="R47" s="22" t="s">
        <v>72</v>
      </c>
    </row>
    <row r="48" spans="1:18" ht="51" customHeight="1" outlineLevel="1">
      <c r="A48" s="179" t="str">
        <f>ПТО!A7</f>
        <v>Замена дверного доводчика (вход в лифтовой холл).</v>
      </c>
      <c r="B48" s="179"/>
      <c r="C48" s="179"/>
      <c r="D48" s="179"/>
      <c r="E48" s="179"/>
      <c r="F48" s="184">
        <f>VLOOKUP(A48,ПТО!$A$2:$D$31,4,FALSE)</f>
        <v>3100</v>
      </c>
      <c r="G48" s="184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9"/>
      <c r="L48" s="196"/>
      <c r="M48" s="116"/>
      <c r="N48" s="109"/>
      <c r="O48" s="23" t="str">
        <f t="shared" si="1"/>
        <v>Замена дверного доводчика (вход в лифтовой холл).</v>
      </c>
      <c r="R48" s="22" t="s">
        <v>72</v>
      </c>
    </row>
    <row r="49" spans="1:18" ht="51" customHeight="1" outlineLevel="1">
      <c r="A49" s="179" t="str">
        <f>ПТО!A8</f>
        <v>Приобретение и установка светодиодных светильников (44 шт. на лестничном марше и лифтовых площадках).</v>
      </c>
      <c r="B49" s="179"/>
      <c r="C49" s="179"/>
      <c r="D49" s="179"/>
      <c r="E49" s="179"/>
      <c r="F49" s="184">
        <f>VLOOKUP(A49,ПТО!$A$2:$D$31,4,FALSE)</f>
        <v>56701.79</v>
      </c>
      <c r="G49" s="184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9"/>
      <c r="L49" s="196"/>
      <c r="M49" s="116"/>
      <c r="N49" s="109"/>
      <c r="O49" s="23" t="str">
        <f t="shared" si="1"/>
        <v>Приобретение и установка светодиодных светильников (44 шт. на лестничном марше и лифтовых площадках).</v>
      </c>
      <c r="R49" s="22" t="s">
        <v>72</v>
      </c>
    </row>
    <row r="50" spans="1:18" ht="51" customHeight="1" outlineLevel="1">
      <c r="A50" s="179" t="str">
        <f>ПТО!A9</f>
        <v>Благоустройство придомовой территории (срезка и вывоз поврежденного асфальтобетона).</v>
      </c>
      <c r="B50" s="179"/>
      <c r="C50" s="179"/>
      <c r="D50" s="179"/>
      <c r="E50" s="179"/>
      <c r="F50" s="184">
        <f>VLOOKUP(A50,ПТО!$A$2:$D$31,4,FALSE)</f>
        <v>2687.9</v>
      </c>
      <c r="G50" s="184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9"/>
      <c r="L50" s="196"/>
      <c r="M50" s="116"/>
      <c r="N50" s="109"/>
      <c r="O50" s="23" t="str">
        <f t="shared" si="1"/>
        <v>Благоустройство придомовой территории (срезка и вывоз поврежденного асфальтобетона).</v>
      </c>
      <c r="R50" s="22" t="s">
        <v>72</v>
      </c>
    </row>
    <row r="51" spans="1:18" ht="51" customHeight="1" outlineLevel="1">
      <c r="A51" s="179" t="str">
        <f>ПТО!A10</f>
        <v>Приобретение и замена дверных доводчиков (4 шт.).</v>
      </c>
      <c r="B51" s="179"/>
      <c r="C51" s="179"/>
      <c r="D51" s="179"/>
      <c r="E51" s="179"/>
      <c r="F51" s="184">
        <f>VLOOKUP(A51,ПТО!$A$2:$D$31,4,FALSE)</f>
        <v>4605.12</v>
      </c>
      <c r="G51" s="184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9"/>
      <c r="L51" s="196"/>
      <c r="M51" s="116"/>
      <c r="N51" s="109"/>
      <c r="O51" s="23" t="str">
        <f t="shared" si="1"/>
        <v>Приобретение и замена дверных доводчиков (4 шт.).</v>
      </c>
      <c r="R51" s="22" t="s">
        <v>72</v>
      </c>
    </row>
    <row r="52" spans="1:18" ht="51" customHeight="1" outlineLevel="1">
      <c r="A52" s="179" t="str">
        <f>ПТО!A11</f>
        <v>Профилактика блока вызова.</v>
      </c>
      <c r="B52" s="179"/>
      <c r="C52" s="179"/>
      <c r="D52" s="179"/>
      <c r="E52" s="179"/>
      <c r="F52" s="184">
        <f>VLOOKUP(A52,ПТО!$A$2:$D$31,4,FALSE)</f>
        <v>700</v>
      </c>
      <c r="G52" s="184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9"/>
      <c r="L52" s="196"/>
      <c r="M52" s="116"/>
      <c r="N52" s="109"/>
      <c r="O52" s="23" t="str">
        <f t="shared" si="1"/>
        <v>Профилактика блока вызова.</v>
      </c>
      <c r="R52" s="22" t="s">
        <v>72</v>
      </c>
    </row>
    <row r="53" spans="1:18" ht="51" customHeight="1" outlineLevel="1">
      <c r="A53" s="179" t="str">
        <f>ПТО!A12</f>
        <v>Восстановление интерфейса пожарной безопасности.</v>
      </c>
      <c r="B53" s="179"/>
      <c r="C53" s="179"/>
      <c r="D53" s="179"/>
      <c r="E53" s="179"/>
      <c r="F53" s="184">
        <f>VLOOKUP(A53,ПТО!$A$2:$D$31,4,FALSE)</f>
        <v>12205.6</v>
      </c>
      <c r="G53" s="184"/>
      <c r="H53" s="25" t="str">
        <f>VLOOKUP(A53,ПТО!$A$2:$D$31,2,FALSE)</f>
        <v>разово</v>
      </c>
      <c r="I53" s="180">
        <f>VLOOKUP(A53,ПТО!$A$2:$D$31,3,FALSE)</f>
        <v>1</v>
      </c>
      <c r="J53" s="180"/>
      <c r="K53" s="109"/>
      <c r="L53" s="196"/>
      <c r="M53" s="116"/>
      <c r="N53" s="109"/>
      <c r="O53" s="23" t="str">
        <f t="shared" si="1"/>
        <v>Восстановление интерфейса пожарной безопасности.</v>
      </c>
      <c r="R53" s="22" t="s">
        <v>72</v>
      </c>
    </row>
    <row r="54" spans="1:18" ht="51" customHeight="1" outlineLevel="1">
      <c r="A54" s="179" t="str">
        <f>ПТО!A13</f>
        <v>Ремонт прибора учета тепловой энергии (ремонт расходомера).</v>
      </c>
      <c r="B54" s="179"/>
      <c r="C54" s="179"/>
      <c r="D54" s="179"/>
      <c r="E54" s="179"/>
      <c r="F54" s="184">
        <f>VLOOKUP(A54,ПТО!$A$2:$D$31,4,FALSE)</f>
        <v>5854.7</v>
      </c>
      <c r="G54" s="184"/>
      <c r="H54" s="25" t="str">
        <f>VLOOKUP(A54,ПТО!$A$2:$D$31,2,FALSE)</f>
        <v>разово</v>
      </c>
      <c r="I54" s="180">
        <f>VLOOKUP(A54,ПТО!$A$2:$D$31,3,FALSE)</f>
        <v>1</v>
      </c>
      <c r="J54" s="180"/>
      <c r="K54" s="109"/>
      <c r="L54" s="196"/>
      <c r="M54" s="116"/>
      <c r="N54" s="109"/>
      <c r="O54" s="23" t="str">
        <f t="shared" si="1"/>
        <v>Ремонт прибора учета тепловой энергии (ремонт расходомера).</v>
      </c>
      <c r="R54" s="22" t="s">
        <v>72</v>
      </c>
    </row>
    <row r="55" spans="1:18" ht="51" customHeight="1" outlineLevel="1">
      <c r="A55" s="179" t="str">
        <f>ПТО!A14</f>
        <v>Испытание пожарных кранов (30 шт.).</v>
      </c>
      <c r="B55" s="179"/>
      <c r="C55" s="179"/>
      <c r="D55" s="179"/>
      <c r="E55" s="179"/>
      <c r="F55" s="184">
        <f>VLOOKUP(A55,ПТО!$A$2:$D$31,4,FALSE)</f>
        <v>7500</v>
      </c>
      <c r="G55" s="184"/>
      <c r="H55" s="25" t="str">
        <f>VLOOKUP(A55,ПТО!$A$2:$D$31,2,FALSE)</f>
        <v>разово</v>
      </c>
      <c r="I55" s="180">
        <f>VLOOKUP(A55,ПТО!$A$2:$D$31,3,FALSE)</f>
        <v>1</v>
      </c>
      <c r="J55" s="180"/>
      <c r="K55" s="109"/>
      <c r="L55" s="196"/>
      <c r="M55" s="116"/>
      <c r="N55" s="109"/>
      <c r="O55" s="23" t="str">
        <f t="shared" si="1"/>
        <v>Испытание пожарных кранов (30 шт.).</v>
      </c>
      <c r="R55" s="22" t="s">
        <v>72</v>
      </c>
    </row>
    <row r="56" spans="1:18" ht="51" customHeight="1" outlineLevel="1">
      <c r="A56" s="179" t="str">
        <f>ПТО!A15</f>
        <v>Замена блока питания системы видеонаблюдения.</v>
      </c>
      <c r="B56" s="179"/>
      <c r="C56" s="179"/>
      <c r="D56" s="179"/>
      <c r="E56" s="179"/>
      <c r="F56" s="184">
        <f>VLOOKUP(A56,ПТО!$A$2:$D$31,4,FALSE)</f>
        <v>843</v>
      </c>
      <c r="G56" s="184"/>
      <c r="H56" s="25" t="str">
        <f>VLOOKUP(A56,ПТО!$A$2:$D$31,2,FALSE)</f>
        <v>разово</v>
      </c>
      <c r="I56" s="180">
        <f>VLOOKUP(A56,ПТО!$A$2:$D$31,3,FALSE)</f>
        <v>1</v>
      </c>
      <c r="J56" s="180"/>
      <c r="K56" s="109"/>
      <c r="L56" s="196"/>
      <c r="M56" s="116"/>
      <c r="N56" s="109"/>
      <c r="O56" s="23" t="str">
        <f t="shared" si="1"/>
        <v>Замена блока питания системы видеонаблюдения.</v>
      </c>
      <c r="R56" s="22" t="s">
        <v>72</v>
      </c>
    </row>
    <row r="57" spans="1:18" ht="51" customHeight="1" outlineLevel="1">
      <c r="A57" s="179" t="str">
        <f>ПТО!A16</f>
        <v>Замена компенсатора на системе отопления (кв.55).</v>
      </c>
      <c r="B57" s="179"/>
      <c r="C57" s="179"/>
      <c r="D57" s="179"/>
      <c r="E57" s="179"/>
      <c r="F57" s="184">
        <f>VLOOKUP(A57,ПТО!$A$2:$D$31,4,FALSE)</f>
        <v>2900</v>
      </c>
      <c r="G57" s="184"/>
      <c r="H57" s="25" t="str">
        <f>VLOOKUP(A57,ПТО!$A$2:$D$31,2,FALSE)</f>
        <v>разово</v>
      </c>
      <c r="I57" s="180">
        <f>VLOOKUP(A57,ПТО!$A$2:$D$31,3,FALSE)</f>
        <v>1</v>
      </c>
      <c r="J57" s="180"/>
      <c r="K57" s="109"/>
      <c r="L57" s="196"/>
      <c r="M57" s="116"/>
      <c r="N57" s="109"/>
      <c r="O57" s="23" t="str">
        <f t="shared" si="1"/>
        <v>Замена компенсатора на системе отопления (кв.55).</v>
      </c>
      <c r="R57" s="22" t="s">
        <v>72</v>
      </c>
    </row>
    <row r="58" spans="1:18" ht="51" customHeight="1" outlineLevel="1">
      <c r="A58" s="179" t="str">
        <f>ПТО!A17</f>
        <v>Благоустройство придомовой территории (разлиновка парковочных мест).</v>
      </c>
      <c r="B58" s="179"/>
      <c r="C58" s="179"/>
      <c r="D58" s="179"/>
      <c r="E58" s="179"/>
      <c r="F58" s="184">
        <f>VLOOKUP(A58,ПТО!$A$2:$D$31,4,FALSE)</f>
        <v>2000</v>
      </c>
      <c r="G58" s="184"/>
      <c r="H58" s="25" t="str">
        <f>VLOOKUP(A58,ПТО!$A$2:$D$31,2,FALSE)</f>
        <v>разово</v>
      </c>
      <c r="I58" s="180">
        <f>VLOOKUP(A58,ПТО!$A$2:$D$31,3,FALSE)</f>
        <v>1</v>
      </c>
      <c r="J58" s="180"/>
      <c r="K58" s="109"/>
      <c r="L58" s="196"/>
      <c r="M58" s="116"/>
      <c r="N58" s="109"/>
      <c r="O58" s="23" t="str">
        <f t="shared" si="1"/>
        <v>Благоустройство придомовой территории (разлиновка парковочных мест).</v>
      </c>
      <c r="R58" s="22" t="s">
        <v>72</v>
      </c>
    </row>
    <row r="59" spans="1:18" ht="51" customHeight="1" outlineLevel="1">
      <c r="A59" s="179" t="str">
        <f>ПТО!A18</f>
        <v>Благоустройство придомовой территории (покраска уличных ограждений).</v>
      </c>
      <c r="B59" s="179"/>
      <c r="C59" s="179"/>
      <c r="D59" s="179"/>
      <c r="E59" s="179"/>
      <c r="F59" s="184">
        <f>VLOOKUP(A59,ПТО!$A$2:$D$31,4,FALSE)</f>
        <v>3000</v>
      </c>
      <c r="G59" s="184"/>
      <c r="H59" s="25" t="str">
        <f>VLOOKUP(A59,ПТО!$A$2:$D$31,2,FALSE)</f>
        <v>разово</v>
      </c>
      <c r="I59" s="180">
        <f>VLOOKUP(A59,ПТО!$A$2:$D$31,3,FALSE)</f>
        <v>1</v>
      </c>
      <c r="J59" s="180"/>
      <c r="K59" s="109"/>
      <c r="L59" s="196"/>
      <c r="M59" s="116"/>
      <c r="N59" s="109"/>
      <c r="O59" s="23" t="str">
        <f t="shared" si="1"/>
        <v>Благоустройство придомовой территории (покраска уличных ограждений).</v>
      </c>
      <c r="R59" s="22" t="s">
        <v>72</v>
      </c>
    </row>
    <row r="60" spans="1:18" ht="51" hidden="1" customHeight="1" outlineLevel="1">
      <c r="A60" s="179">
        <f>ПТО!A19</f>
        <v>0</v>
      </c>
      <c r="B60" s="179"/>
      <c r="C60" s="179"/>
      <c r="D60" s="179"/>
      <c r="E60" s="179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0" t="e">
        <f>VLOOKUP(A60,ПТО!$A$2:$D$31,3,FALSE)</f>
        <v>#N/A</v>
      </c>
      <c r="J60" s="180"/>
      <c r="K60" s="109"/>
      <c r="L60" s="196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9">
        <f>ПТО!A20</f>
        <v>0</v>
      </c>
      <c r="B61" s="179"/>
      <c r="C61" s="179"/>
      <c r="D61" s="179"/>
      <c r="E61" s="179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0" t="e">
        <f>VLOOKUP(A61,ПТО!$A$2:$D$31,3,FALSE)</f>
        <v>#N/A</v>
      </c>
      <c r="J61" s="180"/>
      <c r="K61" s="109"/>
      <c r="L61" s="196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9">
        <f>ПТО!A21</f>
        <v>0</v>
      </c>
      <c r="B62" s="179"/>
      <c r="C62" s="179"/>
      <c r="D62" s="179"/>
      <c r="E62" s="179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0" t="e">
        <f>VLOOKUP(A62,ПТО!$A$2:$D$31,3,FALSE)</f>
        <v>#N/A</v>
      </c>
      <c r="J62" s="180"/>
      <c r="K62" s="109"/>
      <c r="L62" s="196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9">
        <f>ПТО!A22</f>
        <v>0</v>
      </c>
      <c r="B63" s="179"/>
      <c r="C63" s="179"/>
      <c r="D63" s="179"/>
      <c r="E63" s="179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0" t="e">
        <f>VLOOKUP(A63,ПТО!$A$2:$D$31,3,FALSE)</f>
        <v>#N/A</v>
      </c>
      <c r="J63" s="180"/>
      <c r="K63" s="109"/>
      <c r="L63" s="196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9"/>
      <c r="L64" s="196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9"/>
      <c r="L65" s="196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9"/>
      <c r="L66" s="196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9"/>
      <c r="L67" s="196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9"/>
      <c r="L68" s="196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9"/>
      <c r="L69" s="196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09"/>
      <c r="L70" s="196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16"/>
      <c r="L71" s="196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0" t="e">
        <f>VLOOKUP(A72,ПТО!$A$2:$D$31,3,FALSE)</f>
        <v>#N/A</v>
      </c>
      <c r="J72" s="180"/>
      <c r="K72" s="109"/>
      <c r="L72" s="196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99"/>
      <c r="M75" s="109"/>
      <c r="N75" s="109"/>
      <c r="O75" s="70" t="s">
        <v>99</v>
      </c>
    </row>
    <row r="76" spans="1:16384" ht="18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99"/>
      <c r="M76" s="109"/>
      <c r="N76" s="109"/>
      <c r="O76" s="70" t="s">
        <v>100</v>
      </c>
    </row>
    <row r="77" spans="1:16384" ht="21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99"/>
      <c r="M77" s="109"/>
      <c r="N77" s="109"/>
      <c r="O77" s="70" t="s">
        <v>101</v>
      </c>
    </row>
    <row r="78" spans="1:16384" ht="18.75" customHeight="1" outlineLevel="1">
      <c r="A78" s="197" t="s">
        <v>30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99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7">
        <f t="shared" ref="J81:J90" si="2">VLOOKUP(O81,АО,3,FALSE)</f>
        <v>0</v>
      </c>
      <c r="K81" s="109"/>
      <c r="L81" s="185"/>
      <c r="M81" s="109"/>
      <c r="N81" s="109"/>
      <c r="O81" s="70" t="s">
        <v>103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7">
        <f t="shared" si="2"/>
        <v>0</v>
      </c>
      <c r="K82" s="109"/>
      <c r="L82" s="185"/>
      <c r="M82" s="109"/>
      <c r="N82" s="109"/>
      <c r="O82" s="70" t="s">
        <v>104</v>
      </c>
    </row>
    <row r="83" spans="1:15" outlineLevel="1">
      <c r="A83" s="191" t="s">
        <v>4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235746.68</v>
      </c>
      <c r="K83" s="109"/>
      <c r="L83" s="185"/>
      <c r="M83" s="109"/>
      <c r="N83" s="109"/>
      <c r="O83" s="70" t="s">
        <v>105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185"/>
      <c r="M84" s="109"/>
      <c r="N84" s="109"/>
      <c r="O84" s="70" t="s">
        <v>106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0</v>
      </c>
      <c r="K85" s="109"/>
      <c r="L85" s="185"/>
      <c r="M85" s="109"/>
      <c r="N85" s="109"/>
      <c r="O85" s="70" t="s">
        <v>107</v>
      </c>
    </row>
    <row r="86" spans="1:15" outlineLevel="1">
      <c r="A86" s="191" t="s">
        <v>18</v>
      </c>
      <c r="B86" s="192"/>
      <c r="C86" s="192"/>
      <c r="D86" s="192"/>
      <c r="E86" s="192"/>
      <c r="F86" s="192"/>
      <c r="G86" s="192"/>
      <c r="H86" s="192"/>
      <c r="I86" s="193"/>
      <c r="J86" s="97">
        <f t="shared" si="2"/>
        <v>274550.64</v>
      </c>
      <c r="K86" s="109"/>
      <c r="L86" s="185"/>
      <c r="M86" s="109"/>
      <c r="N86" s="109"/>
      <c r="O86" s="70" t="s">
        <v>108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185"/>
      <c r="M87" s="109"/>
      <c r="N87" s="109"/>
      <c r="O87" s="70" t="s">
        <v>109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185"/>
      <c r="M88" s="109"/>
      <c r="N88" s="109"/>
      <c r="O88" s="70" t="s">
        <v>110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8">
        <f t="shared" si="2"/>
        <v>0</v>
      </c>
      <c r="K89" s="109"/>
      <c r="L89" s="185"/>
      <c r="M89" s="109"/>
      <c r="N89" s="109"/>
      <c r="O89" s="70" t="s">
        <v>111</v>
      </c>
    </row>
    <row r="90" spans="1:15" ht="18.75" customHeight="1" outlineLevel="1">
      <c r="A90" s="191" t="s">
        <v>30</v>
      </c>
      <c r="B90" s="192"/>
      <c r="C90" s="192"/>
      <c r="D90" s="192"/>
      <c r="E90" s="192"/>
      <c r="F90" s="192"/>
      <c r="G90" s="192"/>
      <c r="H90" s="192"/>
      <c r="I90" s="193"/>
      <c r="J90" s="97">
        <f t="shared" si="2"/>
        <v>0</v>
      </c>
      <c r="K90" s="109"/>
      <c r="L90" s="18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0" t="s">
        <v>48</v>
      </c>
      <c r="B93" s="200"/>
      <c r="C93" s="200"/>
      <c r="D93" s="201" t="s">
        <v>49</v>
      </c>
      <c r="E93" s="201"/>
      <c r="F93" s="10" t="s">
        <v>50</v>
      </c>
      <c r="G93" s="200" t="s">
        <v>51</v>
      </c>
      <c r="H93" s="200"/>
      <c r="I93" s="200"/>
      <c r="J93" s="200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82" t="str">
        <f>IF(VLOOKUP("эл",АО,3,FALSE)&gt;0,VLOOKUP("эл",АО,3,FALSE),0)</f>
        <v>Предоставляется</v>
      </c>
      <c r="E94" s="182"/>
      <c r="F94" s="13" t="str">
        <f>IF(VLOOKUP("эл",АО,3,FALSE)&gt;0,VLOOKUP("эл",АО,4,FALSE),0)</f>
        <v>кВт*ч</v>
      </c>
      <c r="G94" s="183">
        <f>VLOOKUP("эл",АО,5,FALSE)</f>
        <v>607881.1</v>
      </c>
      <c r="H94" s="182"/>
      <c r="I94" s="182"/>
      <c r="J94" s="182"/>
      <c r="K94" s="1" t="str">
        <f>VLOOKUP("эл",АО,2,FALSE)</f>
        <v>Электроснабжение</v>
      </c>
      <c r="L94" s="186"/>
    </row>
    <row r="95" spans="1:15" outlineLevel="2">
      <c r="A95" s="198" t="str">
        <f>IF(VLOOKUP("эл",АО,3,FALSE)&gt;0,VLOOKUP("эл1",АО,2,FALSE),0)</f>
        <v>Общий объем потребления, нат. показ.</v>
      </c>
      <c r="B95" s="198"/>
      <c r="C95" s="198"/>
      <c r="D95" s="198"/>
      <c r="E95" s="198"/>
      <c r="F95" s="198"/>
      <c r="G95" s="198"/>
      <c r="H95" s="198"/>
      <c r="I95" s="198"/>
      <c r="J95" s="18">
        <f t="shared" ref="J95:J101" si="3">VLOOKUP(O95,АО,3,FALSE)</f>
        <v>480906.56128830521</v>
      </c>
      <c r="L95" s="186"/>
      <c r="O95" s="1" t="s">
        <v>113</v>
      </c>
    </row>
    <row r="96" spans="1:15" outlineLevel="2">
      <c r="A96" s="198" t="str">
        <f>IF(VLOOKUP("эл",АО,3,FALSE)&gt;0,VLOOKUP("эл2",АО,2,FALSE),0)</f>
        <v>Оплачено потребителями, руб.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576444.6599999998</v>
      </c>
      <c r="L96" s="186"/>
      <c r="O96" s="1" t="s">
        <v>114</v>
      </c>
    </row>
    <row r="97" spans="1:15" outlineLevel="2">
      <c r="A97" s="198" t="str">
        <f>IF(VLOOKUP("эл",АО,3,FALSE)&gt;0,VLOOKUP("эл3",АО,2,FALSE),0)</f>
        <v>Задолженность потребителей, руб.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31436.440000000177</v>
      </c>
      <c r="L97" s="186"/>
      <c r="O97" s="1" t="s">
        <v>115</v>
      </c>
    </row>
    <row r="98" spans="1:15" ht="37.5" customHeight="1" outlineLevel="2">
      <c r="A98" s="198" t="str">
        <f>IF(VLOOKUP("эл",АО,3,FALSE)&gt;0,VLOOKUP("эл4",АО,2,FALSE),0)</f>
        <v>Начислено поставщиком (поставщиками) коммунального ресурса, руб.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607881.1</v>
      </c>
      <c r="L98" s="186"/>
      <c r="O98" s="1" t="s">
        <v>116</v>
      </c>
    </row>
    <row r="99" spans="1:15" outlineLevel="2">
      <c r="A99" s="198" t="str">
        <f>IF(VLOOKUP("эл",АО,3,FALSE)&gt;0,VLOOKUP("эл5",АО,2,FALSE),0)</f>
        <v>Оплачено поставщику (поставщикам) коммунального ресурса, руб.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607881.1</v>
      </c>
      <c r="L99" s="186"/>
      <c r="O99" s="1" t="s">
        <v>117</v>
      </c>
    </row>
    <row r="100" spans="1:15" ht="39" customHeight="1" outlineLevel="2">
      <c r="A100" s="19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186"/>
      <c r="O100" s="1" t="s">
        <v>118</v>
      </c>
    </row>
    <row r="101" spans="1:15" ht="34.5" customHeight="1" outlineLevel="2">
      <c r="A101" s="19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8"/>
      <c r="C101" s="198"/>
      <c r="D101" s="198"/>
      <c r="E101" s="198"/>
      <c r="F101" s="198"/>
      <c r="G101" s="198"/>
      <c r="H101" s="198"/>
      <c r="I101" s="198"/>
      <c r="J101" s="18">
        <f t="shared" si="3"/>
        <v>0</v>
      </c>
      <c r="L101" s="186"/>
      <c r="O101" s="1" t="s">
        <v>119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82" t="str">
        <f>IF(VLOOKUP("хвс",АО,3,FALSE)&gt;0,VLOOKUP("хвс",АО,3,FALSE),0)</f>
        <v>Предоставляется</v>
      </c>
      <c r="E102" s="182"/>
      <c r="F102" s="13" t="str">
        <f>IF(VLOOKUP("хвс",АО,3,FALSE)&gt;0,VLOOKUP("хвс",АО,4,FALSE),0)</f>
        <v>куб.м.</v>
      </c>
      <c r="G102" s="183">
        <f>VLOOKUP("хвс",АО,5,FALSE)</f>
        <v>179554.07000000004</v>
      </c>
      <c r="H102" s="182"/>
      <c r="I102" s="182"/>
      <c r="J102" s="182"/>
      <c r="L102" s="186"/>
    </row>
    <row r="103" spans="1:15" outlineLevel="2">
      <c r="A103" s="198" t="str">
        <f t="shared" ref="A103:A109" si="4">IF(VLOOKUP("хвс",АО,3,FALSE)&gt;0,VLOOKUP(O103,АО,2,FALSE),0)</f>
        <v>Общий объем потребления, нат. показ.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ref="J103:J109" si="5">VLOOKUP(O103,АО,3,FALSE)</f>
        <v>13115.11890390575</v>
      </c>
      <c r="L103" s="186"/>
      <c r="O103" s="1" t="s">
        <v>122</v>
      </c>
    </row>
    <row r="104" spans="1:15" ht="18.75" customHeight="1" outlineLevel="2">
      <c r="A104" s="198" t="str">
        <f t="shared" si="4"/>
        <v>Оплачено потребителями,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177384.33</v>
      </c>
      <c r="L104" s="186"/>
      <c r="O104" s="1" t="s">
        <v>123</v>
      </c>
    </row>
    <row r="105" spans="1:15" ht="18.75" customHeight="1" outlineLevel="2">
      <c r="A105" s="198" t="str">
        <f t="shared" si="4"/>
        <v>Задолженность потребителей,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2169.7400000000489</v>
      </c>
      <c r="L105" s="186"/>
      <c r="O105" s="1" t="s">
        <v>124</v>
      </c>
    </row>
    <row r="106" spans="1:15" ht="36.75" customHeight="1" outlineLevel="2">
      <c r="A106" s="198" t="str">
        <f t="shared" si="4"/>
        <v>Начислено поставщиком (поставщиками)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179554.07000000004</v>
      </c>
      <c r="L106" s="186"/>
      <c r="O106" s="1" t="s">
        <v>125</v>
      </c>
    </row>
    <row r="107" spans="1:15" ht="18.75" customHeight="1" outlineLevel="2">
      <c r="A107" s="198" t="str">
        <f t="shared" si="4"/>
        <v>Оплачено поставщику (поставщикам)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179554.07000000004</v>
      </c>
      <c r="L107" s="186"/>
      <c r="O107" s="1" t="s">
        <v>126</v>
      </c>
    </row>
    <row r="108" spans="1:15" ht="37.5" customHeight="1" outlineLevel="2">
      <c r="A108" s="198" t="str">
        <f t="shared" si="4"/>
        <v>Задолженность перед поставщиком (поставщиками)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186"/>
      <c r="O108" s="1" t="s">
        <v>127</v>
      </c>
    </row>
    <row r="109" spans="1:15" ht="39.75" customHeight="1" outlineLevel="2">
      <c r="A109" s="198" t="str">
        <f t="shared" si="4"/>
        <v>Размер пени и штрафов, уплаченных поставщику (поставщикам) коммунального ресурса, руб.</v>
      </c>
      <c r="B109" s="198"/>
      <c r="C109" s="198"/>
      <c r="D109" s="198"/>
      <c r="E109" s="198"/>
      <c r="F109" s="198"/>
      <c r="G109" s="198"/>
      <c r="H109" s="198"/>
      <c r="I109" s="198"/>
      <c r="J109" s="18">
        <f t="shared" si="5"/>
        <v>0</v>
      </c>
      <c r="L109" s="186"/>
      <c r="O109" s="1" t="s">
        <v>128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82" t="str">
        <f>IF(VLOOKUP("воо",АО,3,FALSE)&gt;0,VLOOKUP("воо",АО,3,FALSE),0)</f>
        <v>Предоставляется</v>
      </c>
      <c r="E110" s="182"/>
      <c r="F110" s="13" t="str">
        <f>IF(VLOOKUP("воо",АО,3,FALSE)&gt;0,VLOOKUP("воо",АО,4,FALSE),0)</f>
        <v>куб.м.</v>
      </c>
      <c r="G110" s="183">
        <f>VLOOKUP("воо",АО,5,FALSE)</f>
        <v>338954.52</v>
      </c>
      <c r="H110" s="182"/>
      <c r="I110" s="182"/>
      <c r="J110" s="182"/>
      <c r="L110" s="186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20364.240058455791</v>
      </c>
      <c r="L111" s="186"/>
      <c r="O111" s="1" t="s">
        <v>130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333756.73999999987</v>
      </c>
      <c r="L112" s="186"/>
      <c r="O112" s="1" t="s">
        <v>131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5197.7800000001444</v>
      </c>
      <c r="L113" s="186"/>
      <c r="O113" s="1" t="s">
        <v>132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338954.52</v>
      </c>
      <c r="L114" s="186"/>
      <c r="O114" s="1" t="s">
        <v>133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338954.52</v>
      </c>
      <c r="L115" s="186"/>
      <c r="O115" s="1" t="s">
        <v>134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86"/>
      <c r="O116" s="1" t="s">
        <v>135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86"/>
      <c r="O117" s="1" t="s">
        <v>136</v>
      </c>
    </row>
    <row r="118" spans="1:15" ht="32.25" hidden="1" customHeight="1" outlineLevel="1">
      <c r="A118" s="181">
        <f>IF(VLOOKUP("тко",АО,3,FALSE)&gt;0,"Обращение с ТКО",0)</f>
        <v>0</v>
      </c>
      <c r="B118" s="181"/>
      <c r="C118" s="181"/>
      <c r="D118" s="182">
        <f>IF(VLOOKUP("тко",АО,3,FALSE)&gt;0,VLOOKUP("тко",АО,3,FALSE),0)</f>
        <v>0</v>
      </c>
      <c r="E118" s="182"/>
      <c r="F118" s="13">
        <f>IF(VLOOKUP("тко",АО,3,FALSE)&gt;0,VLOOKUP("тко",АО,4,FALSE),0)</f>
        <v>0</v>
      </c>
      <c r="G118" s="183">
        <f>VLOOKUP("тко",АО,5,FALSE)</f>
        <v>0</v>
      </c>
      <c r="H118" s="182"/>
      <c r="I118" s="182"/>
      <c r="J118" s="182"/>
      <c r="L118" s="47"/>
    </row>
    <row r="119" spans="1:15" ht="32.25" hidden="1" customHeight="1" outlineLevel="2">
      <c r="A119" s="177">
        <f t="shared" ref="A119:A125" si="8">IF(VLOOKUP("тко",АО,3,FALSE)&gt;0,VLOOKUP(O119,АО,2,FALSE),0)</f>
        <v>0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77">
        <f t="shared" si="8"/>
        <v>0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77">
        <f t="shared" si="8"/>
        <v>0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77">
        <f t="shared" si="8"/>
        <v>0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77">
        <f t="shared" si="8"/>
        <v>0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77">
        <f t="shared" si="8"/>
        <v>0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77">
        <f t="shared" si="8"/>
        <v>0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1">
        <f>IF(VLOOKUP("гвс",АО,3,FALSE)&gt;0,"Горячее водоснабжение",0)</f>
        <v>0</v>
      </c>
      <c r="B126" s="181"/>
      <c r="C126" s="181"/>
      <c r="D126" s="182">
        <f>IF(VLOOKUP("гвс",АО,3,FALSE)&gt;0,VLOOKUP("гвс",АО,3,FALSE),0)</f>
        <v>0</v>
      </c>
      <c r="E126" s="182"/>
      <c r="F126" s="13">
        <f>IF(VLOOKUP("гвс",АО,3,FALSE)&gt;0,VLOOKUP("гвс",АО,4,FALSE),0)</f>
        <v>0</v>
      </c>
      <c r="G126" s="183">
        <f>VLOOKUP("гвс",АО,5,FALSE)</f>
        <v>0</v>
      </c>
      <c r="H126" s="182"/>
      <c r="I126" s="182"/>
      <c r="J126" s="182"/>
      <c r="L126" s="47"/>
    </row>
    <row r="127" spans="1:15" ht="32.25" hidden="1" customHeight="1" outlineLevel="2">
      <c r="A127" s="177">
        <f t="shared" ref="A127:A133" si="10">IF(VLOOKUP("гвс",АО,3,FALSE)&gt;0,VLOOKUP(O127,АО,2,FALSE),0)</f>
        <v>0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7">
        <f t="shared" si="10"/>
        <v>0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7">
        <f t="shared" si="10"/>
        <v>0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7">
        <f t="shared" si="10"/>
        <v>0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7">
        <f t="shared" si="10"/>
        <v>0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7">
        <f t="shared" si="10"/>
        <v>0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7">
        <f t="shared" si="10"/>
        <v>0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3">
        <f>VLOOKUP("отопление",АО,5,FALSE)</f>
        <v>0</v>
      </c>
      <c r="H134" s="182"/>
      <c r="I134" s="182"/>
      <c r="J134" s="182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170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13</v>
      </c>
      <c r="L145" s="15"/>
      <c r="O145" t="s">
        <v>171</v>
      </c>
    </row>
    <row r="146" spans="1:15" ht="30" customHeight="1" outlineLevel="1">
      <c r="A146" s="177" t="s">
        <v>173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0</v>
      </c>
      <c r="O146" t="s">
        <v>172</v>
      </c>
    </row>
    <row r="149" spans="1:15" ht="52.5" customHeight="1">
      <c r="A149" s="202" t="s">
        <v>185</v>
      </c>
      <c r="B149" s="202"/>
      <c r="C149" s="202"/>
      <c r="D149" s="202"/>
      <c r="E149" s="202"/>
      <c r="F149" s="202"/>
      <c r="G149" s="202"/>
      <c r="H149" s="202"/>
      <c r="I149" s="202"/>
      <c r="J149" s="202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204" t="s">
        <v>200</v>
      </c>
      <c r="B154" s="204"/>
      <c r="C154" s="204"/>
      <c r="D154" s="204"/>
      <c r="E154" s="27">
        <f>ПТО!G1</f>
        <v>-95025.55</v>
      </c>
    </row>
    <row r="155" spans="1:15" ht="34.5" customHeight="1">
      <c r="A155" s="203" t="s">
        <v>199</v>
      </c>
      <c r="B155" s="203"/>
      <c r="C155" s="203"/>
      <c r="D155" s="203"/>
      <c r="E155" s="28">
        <f>J13</f>
        <v>362256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7" t="s">
        <v>19</v>
      </c>
      <c r="B157" s="187"/>
      <c r="C157" s="187"/>
      <c r="D157" s="187"/>
      <c r="E157" s="187"/>
      <c r="F157" s="187" t="s">
        <v>20</v>
      </c>
      <c r="G157" s="187"/>
      <c r="H157" s="20" t="s">
        <v>57</v>
      </c>
      <c r="I157" s="187" t="s">
        <v>21</v>
      </c>
      <c r="J157" s="187"/>
    </row>
    <row r="158" spans="1:15" ht="29.25" customHeight="1">
      <c r="A158" s="179" t="str">
        <f t="shared" ref="A158:A163" si="14">IF(N158&gt;0,N158,0)</f>
        <v>Техническое освидетельствование лифтов.</v>
      </c>
      <c r="B158" s="179"/>
      <c r="C158" s="179"/>
      <c r="D158" s="179"/>
      <c r="E158" s="179"/>
      <c r="F158" s="184">
        <f t="shared" ref="F158:F163" si="15">IF(ISERROR(VLOOKUP(A158,$A$28:$J$72,6,FALSE)),0,VLOOKUP(A158,$A$28:$J$72,6,FALSE))</f>
        <v>16200</v>
      </c>
      <c r="G158" s="184"/>
      <c r="H158" s="24" t="str">
        <f t="shared" ref="H158:H187" si="16">VLOOKUP(A158,$A$28:$J$72,8,FALSE)</f>
        <v>ежегодно</v>
      </c>
      <c r="I158" s="180">
        <f t="shared" ref="I158:I161" si="17">VLOOKUP(A158,$A$28:$J$72,9,FALSE)</f>
        <v>2</v>
      </c>
      <c r="J158" s="18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9" t="str">
        <f t="shared" si="14"/>
        <v>Техническое обслуживание системы видеонаблюдения.</v>
      </c>
      <c r="B159" s="179"/>
      <c r="C159" s="179"/>
      <c r="D159" s="179"/>
      <c r="E159" s="179"/>
      <c r="F159" s="184">
        <f t="shared" si="15"/>
        <v>20400</v>
      </c>
      <c r="G159" s="184"/>
      <c r="H159" s="24" t="str">
        <f t="shared" si="16"/>
        <v>ежемесячно</v>
      </c>
      <c r="I159" s="180">
        <f t="shared" si="17"/>
        <v>12</v>
      </c>
      <c r="J159" s="180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79" t="str">
        <f t="shared" si="14"/>
        <v>Частичный ремонт лестничного марша (1 этаж).</v>
      </c>
      <c r="B160" s="179"/>
      <c r="C160" s="179"/>
      <c r="D160" s="179"/>
      <c r="E160" s="179"/>
      <c r="F160" s="184">
        <f t="shared" si="15"/>
        <v>4200</v>
      </c>
      <c r="G160" s="184"/>
      <c r="H160" s="24" t="str">
        <f t="shared" si="16"/>
        <v>разово</v>
      </c>
      <c r="I160" s="180">
        <f t="shared" si="17"/>
        <v>1</v>
      </c>
      <c r="J160" s="180"/>
      <c r="M160" s="22" t="s">
        <v>72</v>
      </c>
      <c r="N160" s="1" t="str">
        <v>Частичный ремонт лестничного марша (1 этаж).</v>
      </c>
    </row>
    <row r="161" spans="1:14" ht="28.5" customHeight="1">
      <c r="A161" s="179" t="str">
        <f>IF(N161&gt;0,N161,0)</f>
        <v>Приобретение и замена контейнеров для ТКО (3 шт.).</v>
      </c>
      <c r="B161" s="179"/>
      <c r="C161" s="179"/>
      <c r="D161" s="179"/>
      <c r="E161" s="179"/>
      <c r="F161" s="184">
        <f t="shared" si="15"/>
        <v>10506.1</v>
      </c>
      <c r="G161" s="184"/>
      <c r="H161" s="24" t="str">
        <f t="shared" si="16"/>
        <v>разово</v>
      </c>
      <c r="I161" s="180">
        <f t="shared" si="17"/>
        <v>1</v>
      </c>
      <c r="J161" s="180"/>
      <c r="M161" s="22" t="s">
        <v>72</v>
      </c>
      <c r="N161" s="1" t="str">
        <v>Приобретение и замена контейнеров для ТКО (3 шт.).</v>
      </c>
    </row>
    <row r="162" spans="1:14" ht="28.5" customHeight="1">
      <c r="A162" s="179" t="str">
        <f t="shared" si="14"/>
        <v>Благоустройство придомовой территории (приобретение чернозема).</v>
      </c>
      <c r="B162" s="179"/>
      <c r="C162" s="179"/>
      <c r="D162" s="179"/>
      <c r="E162" s="179"/>
      <c r="F162" s="184">
        <f t="shared" si="15"/>
        <v>5585.9</v>
      </c>
      <c r="G162" s="184"/>
      <c r="H162" s="24" t="str">
        <f t="shared" si="16"/>
        <v>разово</v>
      </c>
      <c r="I162" s="180">
        <f>VLOOKUP(A162,$A$28:$J$72,9,FALSE)</f>
        <v>1</v>
      </c>
      <c r="J162" s="180"/>
      <c r="M162" s="22" t="s">
        <v>72</v>
      </c>
      <c r="N162" s="1" t="str">
        <v>Благоустройство придомовой территории (приобретение чернозема).</v>
      </c>
    </row>
    <row r="163" spans="1:14" ht="28.5" customHeight="1">
      <c r="A163" s="179" t="str">
        <f t="shared" si="14"/>
        <v>Замена дверного доводчика (вход в лифтовой холл).</v>
      </c>
      <c r="B163" s="179"/>
      <c r="C163" s="179"/>
      <c r="D163" s="179"/>
      <c r="E163" s="179"/>
      <c r="F163" s="184">
        <f t="shared" si="15"/>
        <v>3100</v>
      </c>
      <c r="G163" s="184"/>
      <c r="H163" s="24" t="str">
        <f t="shared" si="16"/>
        <v>разово</v>
      </c>
      <c r="I163" s="180">
        <f>VLOOKUP(A163,$A$28:$J$72,9,FALSE)</f>
        <v>1</v>
      </c>
      <c r="J163" s="180"/>
      <c r="M163" s="22" t="s">
        <v>72</v>
      </c>
      <c r="N163" s="1" t="str">
        <v>Замена дверного доводчика (вход в лифтовой холл).</v>
      </c>
    </row>
    <row r="164" spans="1:14" ht="28.5" customHeight="1">
      <c r="A164" s="179" t="str">
        <f t="shared" ref="A164:A187" si="18">IF(N164&gt;0,N164,0)</f>
        <v>Приобретение и установка светодиодных светильников (44 шт. на лестничном марше и лифтовых площадках).</v>
      </c>
      <c r="B164" s="179"/>
      <c r="C164" s="179"/>
      <c r="D164" s="179"/>
      <c r="E164" s="179"/>
      <c r="F164" s="184">
        <f t="shared" ref="F164:F187" si="19">IF(ISERROR(VLOOKUP(A164,$A$28:$J$72,6,FALSE)),0,VLOOKUP(A164,$A$28:$J$72,6,FALSE))</f>
        <v>56701.79</v>
      </c>
      <c r="G164" s="184"/>
      <c r="H164" s="29" t="str">
        <f t="shared" si="16"/>
        <v>разово</v>
      </c>
      <c r="I164" s="180">
        <f t="shared" ref="I164:I187" si="20">VLOOKUP(A164,$A$28:$J$72,9,FALSE)</f>
        <v>1</v>
      </c>
      <c r="J164" s="180"/>
      <c r="M164" s="22" t="s">
        <v>72</v>
      </c>
      <c r="N164" s="1" t="str">
        <v>Приобретение и установка светодиодных светильников (44 шт. на лестничном марше и лифтовых площадках).</v>
      </c>
    </row>
    <row r="165" spans="1:14" ht="28.5" customHeight="1">
      <c r="A165" s="179" t="str">
        <f t="shared" si="18"/>
        <v>Благоустройство придомовой территории (срезка и вывоз поврежденного асфальтобетона).</v>
      </c>
      <c r="B165" s="179"/>
      <c r="C165" s="179"/>
      <c r="D165" s="179"/>
      <c r="E165" s="179"/>
      <c r="F165" s="184">
        <f t="shared" si="19"/>
        <v>2687.9</v>
      </c>
      <c r="G165" s="184"/>
      <c r="H165" s="29" t="str">
        <f t="shared" si="16"/>
        <v>разово</v>
      </c>
      <c r="I165" s="180">
        <f t="shared" si="20"/>
        <v>1</v>
      </c>
      <c r="J165" s="180"/>
      <c r="M165" s="22" t="s">
        <v>72</v>
      </c>
      <c r="N165" s="1" t="str">
        <v>Благоустройство придомовой территории (срезка и вывоз поврежденного асфальтобетона).</v>
      </c>
    </row>
    <row r="166" spans="1:14" ht="28.5" customHeight="1">
      <c r="A166" s="179" t="str">
        <f t="shared" si="18"/>
        <v>Приобретение и замена дверных доводчиков (4 шт.).</v>
      </c>
      <c r="B166" s="179"/>
      <c r="C166" s="179"/>
      <c r="D166" s="179"/>
      <c r="E166" s="179"/>
      <c r="F166" s="184">
        <f t="shared" si="19"/>
        <v>4605.12</v>
      </c>
      <c r="G166" s="184"/>
      <c r="H166" s="29" t="str">
        <f t="shared" si="16"/>
        <v>разово</v>
      </c>
      <c r="I166" s="180">
        <f t="shared" si="20"/>
        <v>1</v>
      </c>
      <c r="J166" s="180"/>
      <c r="M166" s="22" t="s">
        <v>72</v>
      </c>
      <c r="N166" s="1" t="str">
        <v>Приобретение и замена дверных доводчиков (4 шт.).</v>
      </c>
    </row>
    <row r="167" spans="1:14" ht="28.5" customHeight="1">
      <c r="A167" s="179" t="str">
        <f t="shared" si="18"/>
        <v>Профилактика блока вызова.</v>
      </c>
      <c r="B167" s="179"/>
      <c r="C167" s="179"/>
      <c r="D167" s="179"/>
      <c r="E167" s="179"/>
      <c r="F167" s="184">
        <f t="shared" si="19"/>
        <v>700</v>
      </c>
      <c r="G167" s="184"/>
      <c r="H167" s="29" t="str">
        <f t="shared" si="16"/>
        <v>разово</v>
      </c>
      <c r="I167" s="180">
        <f t="shared" si="20"/>
        <v>1</v>
      </c>
      <c r="J167" s="180"/>
      <c r="M167" s="22" t="s">
        <v>72</v>
      </c>
      <c r="N167" s="1" t="str">
        <v>Профилактика блока вызова.</v>
      </c>
    </row>
    <row r="168" spans="1:14" ht="28.5" customHeight="1">
      <c r="A168" s="179" t="str">
        <f t="shared" si="18"/>
        <v>Восстановление интерфейса пожарной безопасности.</v>
      </c>
      <c r="B168" s="179"/>
      <c r="C168" s="179"/>
      <c r="D168" s="179"/>
      <c r="E168" s="179"/>
      <c r="F168" s="184">
        <f t="shared" si="19"/>
        <v>12205.6</v>
      </c>
      <c r="G168" s="184"/>
      <c r="H168" s="29" t="str">
        <f t="shared" si="16"/>
        <v>разово</v>
      </c>
      <c r="I168" s="180">
        <f t="shared" si="20"/>
        <v>1</v>
      </c>
      <c r="J168" s="180"/>
      <c r="M168" s="22" t="s">
        <v>72</v>
      </c>
      <c r="N168" s="1" t="str">
        <v>Восстановление интерфейса пожарной безопасности.</v>
      </c>
    </row>
    <row r="169" spans="1:14" ht="28.5" customHeight="1">
      <c r="A169" s="179" t="str">
        <f t="shared" si="18"/>
        <v>Ремонт прибора учета тепловой энергии (ремонт расходомера).</v>
      </c>
      <c r="B169" s="179"/>
      <c r="C169" s="179"/>
      <c r="D169" s="179"/>
      <c r="E169" s="179"/>
      <c r="F169" s="184">
        <f t="shared" si="19"/>
        <v>5854.7</v>
      </c>
      <c r="G169" s="184"/>
      <c r="H169" s="29" t="str">
        <f t="shared" si="16"/>
        <v>разово</v>
      </c>
      <c r="I169" s="180">
        <f t="shared" si="20"/>
        <v>1</v>
      </c>
      <c r="J169" s="180"/>
      <c r="M169" s="22" t="s">
        <v>72</v>
      </c>
      <c r="N169" s="1" t="str">
        <v>Ремонт прибора учета тепловой энергии (ремонт расходомера).</v>
      </c>
    </row>
    <row r="170" spans="1:14" ht="28.5" customHeight="1">
      <c r="A170" s="179" t="str">
        <f t="shared" si="18"/>
        <v>Испытание пожарных кранов (30 шт.).</v>
      </c>
      <c r="B170" s="179"/>
      <c r="C170" s="179"/>
      <c r="D170" s="179"/>
      <c r="E170" s="179"/>
      <c r="F170" s="184">
        <f t="shared" si="19"/>
        <v>7500</v>
      </c>
      <c r="G170" s="184"/>
      <c r="H170" s="29" t="str">
        <f t="shared" si="16"/>
        <v>разово</v>
      </c>
      <c r="I170" s="180">
        <f t="shared" si="20"/>
        <v>1</v>
      </c>
      <c r="J170" s="180"/>
      <c r="M170" s="22" t="s">
        <v>72</v>
      </c>
      <c r="N170" s="1" t="str">
        <v>Испытание пожарных кранов (30 шт.).</v>
      </c>
    </row>
    <row r="171" spans="1:14" ht="28.5" customHeight="1">
      <c r="A171" s="179" t="str">
        <f t="shared" si="18"/>
        <v>Замена блока питания системы видеонаблюдения.</v>
      </c>
      <c r="B171" s="179"/>
      <c r="C171" s="179"/>
      <c r="D171" s="179"/>
      <c r="E171" s="179"/>
      <c r="F171" s="184">
        <f t="shared" si="19"/>
        <v>843</v>
      </c>
      <c r="G171" s="184"/>
      <c r="H171" s="29" t="str">
        <f t="shared" si="16"/>
        <v>разово</v>
      </c>
      <c r="I171" s="180">
        <f t="shared" si="20"/>
        <v>1</v>
      </c>
      <c r="J171" s="180"/>
      <c r="M171" s="22" t="s">
        <v>72</v>
      </c>
      <c r="N171" s="1" t="str">
        <v>Замена блока питания системы видеонаблюдения.</v>
      </c>
    </row>
    <row r="172" spans="1:14" ht="28.5" customHeight="1">
      <c r="A172" s="179" t="str">
        <f t="shared" si="18"/>
        <v>Замена компенсатора на системе отопления (кв.55).</v>
      </c>
      <c r="B172" s="179"/>
      <c r="C172" s="179"/>
      <c r="D172" s="179"/>
      <c r="E172" s="179"/>
      <c r="F172" s="184">
        <f t="shared" si="19"/>
        <v>2900</v>
      </c>
      <c r="G172" s="184"/>
      <c r="H172" s="29" t="str">
        <f t="shared" si="16"/>
        <v>разово</v>
      </c>
      <c r="I172" s="180">
        <f t="shared" si="20"/>
        <v>1</v>
      </c>
      <c r="J172" s="180"/>
      <c r="M172" s="22" t="s">
        <v>72</v>
      </c>
      <c r="N172" s="1" t="str">
        <v>Замена компенсатора на системе отопления (кв.55).</v>
      </c>
    </row>
    <row r="173" spans="1:14" ht="28.5" customHeight="1">
      <c r="A173" s="179" t="str">
        <f t="shared" si="18"/>
        <v>Благоустройство придомовой территории (разлиновка парковочных мест).</v>
      </c>
      <c r="B173" s="179"/>
      <c r="C173" s="179"/>
      <c r="D173" s="179"/>
      <c r="E173" s="179"/>
      <c r="F173" s="184">
        <f t="shared" si="19"/>
        <v>2000</v>
      </c>
      <c r="G173" s="184"/>
      <c r="H173" s="29" t="str">
        <f t="shared" si="16"/>
        <v>разово</v>
      </c>
      <c r="I173" s="180">
        <f t="shared" si="20"/>
        <v>1</v>
      </c>
      <c r="J173" s="180"/>
      <c r="M173" s="22" t="s">
        <v>72</v>
      </c>
      <c r="N173" s="1" t="str">
        <v>Благоустройство придомовой территории (разлиновка парковочных мест).</v>
      </c>
    </row>
    <row r="174" spans="1:14" ht="28.5" customHeight="1">
      <c r="A174" s="179" t="str">
        <f t="shared" si="18"/>
        <v>Благоустройство придомовой территории (покраска уличных ограждений).</v>
      </c>
      <c r="B174" s="179"/>
      <c r="C174" s="179"/>
      <c r="D174" s="179"/>
      <c r="E174" s="179"/>
      <c r="F174" s="184">
        <f t="shared" si="19"/>
        <v>3000</v>
      </c>
      <c r="G174" s="184"/>
      <c r="H174" s="29" t="str">
        <f t="shared" si="16"/>
        <v>разово</v>
      </c>
      <c r="I174" s="180">
        <f t="shared" si="20"/>
        <v>1</v>
      </c>
      <c r="J174" s="180"/>
      <c r="M174" s="22" t="s">
        <v>72</v>
      </c>
      <c r="N174" s="1" t="str">
        <v>Благоустройство придомовой территории (покраска уличных ограждений).</v>
      </c>
    </row>
    <row r="175" spans="1:14" ht="28.5" hidden="1" customHeight="1">
      <c r="A175" s="179">
        <f t="shared" si="18"/>
        <v>0</v>
      </c>
      <c r="B175" s="179"/>
      <c r="C175" s="179"/>
      <c r="D175" s="179"/>
      <c r="E175" s="179"/>
      <c r="F175" s="184">
        <f t="shared" si="19"/>
        <v>0</v>
      </c>
      <c r="G175" s="184"/>
      <c r="H175" s="29" t="e">
        <f t="shared" si="16"/>
        <v>#N/A</v>
      </c>
      <c r="I175" s="180" t="e">
        <f t="shared" si="20"/>
        <v>#N/A</v>
      </c>
      <c r="J175" s="180"/>
      <c r="M175" s="22" t="s">
        <v>72</v>
      </c>
      <c r="N175" s="1">
        <v>0</v>
      </c>
    </row>
    <row r="176" spans="1:14" ht="28.5" hidden="1" customHeight="1">
      <c r="A176" s="179">
        <f t="shared" si="18"/>
        <v>0</v>
      </c>
      <c r="B176" s="179"/>
      <c r="C176" s="179"/>
      <c r="D176" s="179"/>
      <c r="E176" s="179"/>
      <c r="F176" s="184">
        <f t="shared" si="19"/>
        <v>0</v>
      </c>
      <c r="G176" s="184"/>
      <c r="H176" s="29" t="e">
        <f t="shared" si="16"/>
        <v>#N/A</v>
      </c>
      <c r="I176" s="180" t="e">
        <f t="shared" si="20"/>
        <v>#N/A</v>
      </c>
      <c r="J176" s="180"/>
      <c r="M176" s="22" t="s">
        <v>72</v>
      </c>
      <c r="N176" s="1">
        <v>0</v>
      </c>
    </row>
    <row r="177" spans="1:14" ht="28.5" hidden="1" customHeight="1">
      <c r="A177" s="179">
        <f t="shared" si="18"/>
        <v>0</v>
      </c>
      <c r="B177" s="179"/>
      <c r="C177" s="179"/>
      <c r="D177" s="179"/>
      <c r="E177" s="179"/>
      <c r="F177" s="184">
        <f t="shared" si="19"/>
        <v>0</v>
      </c>
      <c r="G177" s="184"/>
      <c r="H177" s="29" t="e">
        <f t="shared" si="16"/>
        <v>#N/A</v>
      </c>
      <c r="I177" s="180" t="e">
        <f t="shared" si="20"/>
        <v>#N/A</v>
      </c>
      <c r="J177" s="180"/>
      <c r="M177" s="22" t="s">
        <v>72</v>
      </c>
      <c r="N177" s="1">
        <v>0</v>
      </c>
    </row>
    <row r="178" spans="1:14" ht="28.5" hidden="1" customHeight="1">
      <c r="A178" s="179">
        <f t="shared" si="18"/>
        <v>0</v>
      </c>
      <c r="B178" s="179"/>
      <c r="C178" s="179"/>
      <c r="D178" s="179"/>
      <c r="E178" s="179"/>
      <c r="F178" s="184">
        <f t="shared" si="19"/>
        <v>0</v>
      </c>
      <c r="G178" s="184"/>
      <c r="H178" s="29" t="e">
        <f t="shared" si="16"/>
        <v>#N/A</v>
      </c>
      <c r="I178" s="180" t="e">
        <f t="shared" si="20"/>
        <v>#N/A</v>
      </c>
      <c r="J178" s="180"/>
      <c r="M178" s="22" t="s">
        <v>72</v>
      </c>
      <c r="N178" s="1">
        <v>0</v>
      </c>
    </row>
    <row r="179" spans="1:14" ht="28.5" hidden="1" customHeight="1">
      <c r="A179" s="179">
        <f t="shared" si="18"/>
        <v>0</v>
      </c>
      <c r="B179" s="179"/>
      <c r="C179" s="179"/>
      <c r="D179" s="179"/>
      <c r="E179" s="179"/>
      <c r="F179" s="184">
        <f t="shared" si="19"/>
        <v>0</v>
      </c>
      <c r="G179" s="184"/>
      <c r="H179" s="29" t="e">
        <f t="shared" si="16"/>
        <v>#N/A</v>
      </c>
      <c r="I179" s="180" t="e">
        <f t="shared" si="20"/>
        <v>#N/A</v>
      </c>
      <c r="J179" s="180"/>
      <c r="M179" s="22" t="s">
        <v>72</v>
      </c>
      <c r="N179" s="1">
        <v>0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4">
        <f t="shared" si="19"/>
        <v>0</v>
      </c>
      <c r="G180" s="184"/>
      <c r="H180" s="29" t="e">
        <f t="shared" si="16"/>
        <v>#N/A</v>
      </c>
      <c r="I180" s="180" t="e">
        <f t="shared" si="20"/>
        <v>#N/A</v>
      </c>
      <c r="J180" s="180"/>
      <c r="M180" s="22" t="s">
        <v>72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4">
        <f t="shared" si="19"/>
        <v>0</v>
      </c>
      <c r="G181" s="184"/>
      <c r="H181" s="29" t="e">
        <f t="shared" si="16"/>
        <v>#N/A</v>
      </c>
      <c r="I181" s="180" t="e">
        <f t="shared" si="20"/>
        <v>#N/A</v>
      </c>
      <c r="J181" s="180"/>
      <c r="M181" s="22" t="s">
        <v>72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4">
        <f t="shared" si="19"/>
        <v>0</v>
      </c>
      <c r="G182" s="184"/>
      <c r="H182" s="29" t="e">
        <f t="shared" si="16"/>
        <v>#N/A</v>
      </c>
      <c r="I182" s="180" t="e">
        <f t="shared" si="20"/>
        <v>#N/A</v>
      </c>
      <c r="J182" s="180"/>
      <c r="M182" s="22" t="s">
        <v>72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4">
        <f t="shared" si="19"/>
        <v>0</v>
      </c>
      <c r="G183" s="184"/>
      <c r="H183" s="29" t="e">
        <f t="shared" si="16"/>
        <v>#N/A</v>
      </c>
      <c r="I183" s="180" t="e">
        <f t="shared" si="20"/>
        <v>#N/A</v>
      </c>
      <c r="J183" s="180"/>
      <c r="M183" s="22" t="s">
        <v>72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4">
        <f t="shared" si="19"/>
        <v>0</v>
      </c>
      <c r="G184" s="184"/>
      <c r="H184" s="29" t="e">
        <f t="shared" si="16"/>
        <v>#N/A</v>
      </c>
      <c r="I184" s="180" t="e">
        <f t="shared" si="20"/>
        <v>#N/A</v>
      </c>
      <c r="J184" s="180"/>
      <c r="M184" s="22" t="s">
        <v>72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4">
        <f t="shared" si="19"/>
        <v>0</v>
      </c>
      <c r="G185" s="184"/>
      <c r="H185" s="29" t="e">
        <f t="shared" si="16"/>
        <v>#N/A</v>
      </c>
      <c r="I185" s="180" t="e">
        <f t="shared" si="20"/>
        <v>#N/A</v>
      </c>
      <c r="J185" s="180"/>
      <c r="M185" s="22" t="s">
        <v>72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4">
        <f t="shared" si="19"/>
        <v>0</v>
      </c>
      <c r="G186" s="184"/>
      <c r="H186" s="29" t="e">
        <f t="shared" si="16"/>
        <v>#N/A</v>
      </c>
      <c r="I186" s="180" t="e">
        <f t="shared" si="20"/>
        <v>#N/A</v>
      </c>
      <c r="J186" s="180"/>
      <c r="M186" s="22" t="s">
        <v>72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4">
        <f t="shared" si="19"/>
        <v>0</v>
      </c>
      <c r="G187" s="184"/>
      <c r="H187" s="29" t="e">
        <f t="shared" si="16"/>
        <v>#N/A</v>
      </c>
      <c r="I187" s="180" t="e">
        <f t="shared" si="20"/>
        <v>#N/A</v>
      </c>
      <c r="J187" s="180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04" t="s">
        <v>198</v>
      </c>
      <c r="B190" s="204"/>
      <c r="C190" s="204"/>
      <c r="D190" s="204"/>
      <c r="E190" s="27">
        <f>SUM(F158:G187)</f>
        <v>158990.11000000002</v>
      </c>
    </row>
    <row r="191" spans="1:14" ht="51.75" customHeight="1">
      <c r="A191" s="204" t="s">
        <v>197</v>
      </c>
      <c r="B191" s="204"/>
      <c r="C191" s="204"/>
      <c r="D191" s="204"/>
      <c r="E191" s="27">
        <f>E190+E154-E155</f>
        <v>-298291.44</v>
      </c>
    </row>
    <row r="192" spans="1:14">
      <c r="A192" s="104" t="s">
        <v>174</v>
      </c>
    </row>
    <row r="193" spans="1:10" ht="62.25" customHeight="1">
      <c r="A193" s="178" t="s">
        <v>196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74</v>
      </c>
    </row>
    <row r="195" spans="1:10" ht="18.75" customHeight="1">
      <c r="A195" s="176" t="str">
        <f>ПТО!F13</f>
        <v xml:space="preserve">  -  техническое освидетельствование лифтов</v>
      </c>
      <c r="B195" s="176"/>
      <c r="C195" s="176"/>
      <c r="D195" s="176"/>
      <c r="E195" s="176"/>
      <c r="F195" s="176"/>
      <c r="G195" s="176"/>
      <c r="H195" s="49">
        <f>ПТО!G13</f>
        <v>16200</v>
      </c>
      <c r="I195" s="50" t="s">
        <v>74</v>
      </c>
    </row>
    <row r="196" spans="1:10" ht="18.75" customHeight="1">
      <c r="A196" s="176" t="str">
        <f>ПТО!F14</f>
        <v xml:space="preserve">  -  техническое обслуживание системы видеонаблюдения</v>
      </c>
      <c r="B196" s="176"/>
      <c r="C196" s="176"/>
      <c r="D196" s="176"/>
      <c r="E196" s="176"/>
      <c r="F196" s="176"/>
      <c r="G196" s="176"/>
      <c r="H196" s="49">
        <f>ПТО!G14</f>
        <v>20400</v>
      </c>
      <c r="I196" s="50" t="s">
        <v>74</v>
      </c>
    </row>
    <row r="197" spans="1:10" ht="36.75" customHeight="1">
      <c r="A197" s="176" t="str">
        <f>ПТО!F15</f>
        <v xml:space="preserve">  -  покраска (обновление) бордюров и разлиновка парковочных мест</v>
      </c>
      <c r="B197" s="176"/>
      <c r="C197" s="176"/>
      <c r="D197" s="176"/>
      <c r="E197" s="176"/>
      <c r="F197" s="176"/>
      <c r="G197" s="176"/>
      <c r="H197" s="49">
        <f>ПТО!G15</f>
        <v>9000</v>
      </c>
      <c r="I197" s="50" t="s">
        <v>74</v>
      </c>
    </row>
    <row r="198" spans="1:10" ht="36.75" customHeight="1">
      <c r="A198" s="176" t="str">
        <f>ПТО!F16</f>
        <v xml:space="preserve">  -  промазка битумным технониколем швов рулонного технониколя, фановых труб, вентиляционных шахт, парапетов и т. п.</v>
      </c>
      <c r="B198" s="176"/>
      <c r="C198" s="176"/>
      <c r="D198" s="176"/>
      <c r="E198" s="176"/>
      <c r="F198" s="176"/>
      <c r="G198" s="176"/>
      <c r="H198" s="49">
        <f>ПТО!G16</f>
        <v>12000</v>
      </c>
      <c r="I198" s="52" t="s">
        <v>74</v>
      </c>
    </row>
    <row r="199" spans="1:10" ht="18.75" customHeight="1">
      <c r="A199" s="176" t="str">
        <f>ПТО!F17</f>
        <v xml:space="preserve">  -  замена светильников в лифтовых холлах</v>
      </c>
      <c r="B199" s="176"/>
      <c r="C199" s="176"/>
      <c r="D199" s="176"/>
      <c r="E199" s="176"/>
      <c r="F199" s="176"/>
      <c r="G199" s="176"/>
      <c r="H199" s="49">
        <f>ПТО!G17</f>
        <v>50000</v>
      </c>
      <c r="I199" s="50" t="s">
        <v>74</v>
      </c>
    </row>
    <row r="200" spans="1:10" ht="36.75" customHeight="1">
      <c r="A200" s="176" t="str">
        <f>ПТО!F18</f>
        <v xml:space="preserve">  -  замена переходных дверей 1-го этажа (лестничный марш)</v>
      </c>
      <c r="B200" s="176"/>
      <c r="C200" s="176"/>
      <c r="D200" s="176"/>
      <c r="E200" s="176"/>
      <c r="F200" s="176"/>
      <c r="G200" s="176"/>
      <c r="H200" s="49">
        <f>ПТО!G18</f>
        <v>30000</v>
      </c>
      <c r="I200" s="50" t="s">
        <v>74</v>
      </c>
    </row>
    <row r="201" spans="1:10" ht="36.75" customHeight="1">
      <c r="A201" s="176" t="str">
        <f>ПТО!F19</f>
        <v xml:space="preserve">  -  устройство и покраска бетонного пола в машинном отделении лифта</v>
      </c>
      <c r="B201" s="176"/>
      <c r="C201" s="176"/>
      <c r="D201" s="176"/>
      <c r="E201" s="176"/>
      <c r="F201" s="176"/>
      <c r="G201" s="176"/>
      <c r="H201" s="49">
        <f>ПТО!G19</f>
        <v>1000</v>
      </c>
      <c r="I201" s="50" t="s">
        <v>74</v>
      </c>
    </row>
    <row r="202" spans="1:10" ht="36.75" customHeight="1">
      <c r="A202" s="176" t="str">
        <f>ПТО!F20</f>
        <v xml:space="preserve">  -  изготовление, монтаж металлических панелей для закрытия сейсмопоясов МКД</v>
      </c>
      <c r="B202" s="176"/>
      <c r="C202" s="176"/>
      <c r="D202" s="176"/>
      <c r="E202" s="176"/>
      <c r="F202" s="176"/>
      <c r="G202" s="176"/>
      <c r="H202" s="49">
        <f>ПТО!G20</f>
        <v>200000</v>
      </c>
      <c r="I202" s="50" t="s">
        <v>74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74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74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74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74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74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74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74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74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74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74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339800</v>
      </c>
      <c r="I214" s="56" t="s">
        <v>77</v>
      </c>
    </row>
  </sheetData>
  <sheetProtection algorithmName="SHA-512" hashValue="MPIITXudi6nxNySUwT4OUgP7yfq3rqSVZmmtWlQpej+8EafPSODPGEU6KwTbIYQmq0k7BjEihcHp1QJndYi9hQ==" saltValue="CX9q6THzj9l3PEjx//BhD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H8" sqref="H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200</v>
      </c>
      <c r="G1" s="101">
        <f>-95025.55</f>
        <v>-95025.55</v>
      </c>
    </row>
    <row r="2" spans="1:12" ht="18.75" customHeight="1">
      <c r="A2" s="167" t="s">
        <v>178</v>
      </c>
      <c r="B2" s="119" t="s">
        <v>179</v>
      </c>
      <c r="C2" s="119">
        <v>2</v>
      </c>
      <c r="D2" s="120">
        <v>16200</v>
      </c>
      <c r="E2" s="168" t="s">
        <v>228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9" t="s">
        <v>186</v>
      </c>
      <c r="B3" s="118" t="s">
        <v>180</v>
      </c>
      <c r="C3" s="118">
        <v>12</v>
      </c>
      <c r="D3" s="170">
        <f>1700*12</f>
        <v>20400</v>
      </c>
      <c r="E3" s="168" t="s">
        <v>229</v>
      </c>
      <c r="F3" s="30"/>
      <c r="G3" s="30"/>
      <c r="L3" s="33" t="str">
        <f t="shared" si="0"/>
        <v>ТР</v>
      </c>
    </row>
    <row r="4" spans="1:12" ht="30.75" customHeight="1">
      <c r="A4" s="145" t="s">
        <v>211</v>
      </c>
      <c r="B4" s="146" t="s">
        <v>202</v>
      </c>
      <c r="C4" s="139">
        <v>1</v>
      </c>
      <c r="D4" s="140">
        <v>4200</v>
      </c>
      <c r="E4" s="141" t="s">
        <v>212</v>
      </c>
      <c r="F4" s="30"/>
      <c r="G4" s="30"/>
      <c r="L4" s="33" t="str">
        <f t="shared" si="0"/>
        <v>ТР</v>
      </c>
    </row>
    <row r="5" spans="1:12" ht="18.75" customHeight="1">
      <c r="A5" s="142" t="s">
        <v>203</v>
      </c>
      <c r="B5" s="127" t="s">
        <v>202</v>
      </c>
      <c r="C5" s="131">
        <v>1</v>
      </c>
      <c r="D5" s="132">
        <v>10506.1</v>
      </c>
      <c r="E5" s="121" t="s">
        <v>208</v>
      </c>
      <c r="F5" s="44"/>
      <c r="G5" s="44"/>
      <c r="K5" s="46"/>
      <c r="L5" s="33" t="str">
        <f t="shared" si="0"/>
        <v>ТР</v>
      </c>
    </row>
    <row r="6" spans="1:12" ht="35.25" customHeight="1">
      <c r="A6" s="137" t="s">
        <v>206</v>
      </c>
      <c r="B6" s="138" t="s">
        <v>202</v>
      </c>
      <c r="C6" s="139">
        <v>1</v>
      </c>
      <c r="D6" s="140">
        <v>5585.9</v>
      </c>
      <c r="E6" s="141" t="s">
        <v>207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209</v>
      </c>
      <c r="B7" s="144" t="s">
        <v>202</v>
      </c>
      <c r="C7" s="118">
        <v>1</v>
      </c>
      <c r="D7" s="120">
        <v>3100</v>
      </c>
      <c r="E7" s="121" t="s">
        <v>210</v>
      </c>
      <c r="F7" s="45"/>
      <c r="G7" s="45"/>
      <c r="K7" s="46"/>
      <c r="L7" s="33" t="str">
        <f t="shared" si="0"/>
        <v>ТР</v>
      </c>
    </row>
    <row r="8" spans="1:12" ht="27.75" customHeight="1">
      <c r="A8" s="147" t="s">
        <v>201</v>
      </c>
      <c r="B8" s="146" t="s">
        <v>202</v>
      </c>
      <c r="C8" s="139">
        <v>1</v>
      </c>
      <c r="D8" s="140">
        <v>56701.79</v>
      </c>
      <c r="E8" s="148" t="s">
        <v>214</v>
      </c>
      <c r="F8" s="45"/>
      <c r="G8" s="45"/>
      <c r="K8" s="43"/>
      <c r="L8" s="33" t="str">
        <f t="shared" si="0"/>
        <v>ТР</v>
      </c>
    </row>
    <row r="9" spans="1:12">
      <c r="A9" s="149" t="s">
        <v>205</v>
      </c>
      <c r="B9" s="150" t="s">
        <v>202</v>
      </c>
      <c r="C9" s="151">
        <v>1</v>
      </c>
      <c r="D9" s="152">
        <v>2687.9</v>
      </c>
      <c r="E9" s="153" t="s">
        <v>215</v>
      </c>
      <c r="F9" s="44"/>
      <c r="G9" s="44"/>
      <c r="K9" s="43"/>
      <c r="L9" s="33" t="str">
        <f t="shared" si="0"/>
        <v>ТР</v>
      </c>
    </row>
    <row r="10" spans="1:12">
      <c r="A10" s="154" t="s">
        <v>213</v>
      </c>
      <c r="B10" s="155" t="s">
        <v>202</v>
      </c>
      <c r="C10" s="156">
        <v>1</v>
      </c>
      <c r="D10" s="120">
        <v>4605.12</v>
      </c>
      <c r="E10" s="121" t="s">
        <v>218</v>
      </c>
      <c r="L10" s="33" t="str">
        <f t="shared" si="0"/>
        <v>ТР</v>
      </c>
    </row>
    <row r="11" spans="1:12" ht="94.5">
      <c r="A11" s="143" t="s">
        <v>216</v>
      </c>
      <c r="B11" s="157" t="s">
        <v>202</v>
      </c>
      <c r="C11" s="118">
        <v>1</v>
      </c>
      <c r="D11" s="120">
        <v>700</v>
      </c>
      <c r="E11" s="121" t="s">
        <v>219</v>
      </c>
      <c r="F11" s="111" t="s">
        <v>196</v>
      </c>
      <c r="G11" s="111"/>
      <c r="L11" s="33" t="str">
        <f t="shared" si="0"/>
        <v>ТР</v>
      </c>
    </row>
    <row r="12" spans="1:12" ht="31.5">
      <c r="A12" s="158" t="s">
        <v>220</v>
      </c>
      <c r="B12" s="159" t="s">
        <v>202</v>
      </c>
      <c r="C12" s="139">
        <v>1</v>
      </c>
      <c r="D12" s="140">
        <v>12205.6</v>
      </c>
      <c r="E12" s="160" t="s">
        <v>224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61" t="s">
        <v>217</v>
      </c>
      <c r="B13" s="162" t="s">
        <v>202</v>
      </c>
      <c r="C13" s="156">
        <v>1</v>
      </c>
      <c r="D13" s="120">
        <v>5854.7</v>
      </c>
      <c r="E13" s="121" t="s">
        <v>225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43" t="s">
        <v>204</v>
      </c>
      <c r="B14" s="144" t="s">
        <v>202</v>
      </c>
      <c r="C14" s="118">
        <v>1</v>
      </c>
      <c r="D14" s="120">
        <v>7500</v>
      </c>
      <c r="E14" s="121" t="s">
        <v>226</v>
      </c>
      <c r="F14" s="112" t="s">
        <v>75</v>
      </c>
      <c r="G14" s="114">
        <v>20400</v>
      </c>
      <c r="L14" s="33" t="str">
        <f t="shared" si="0"/>
        <v>ТР</v>
      </c>
    </row>
    <row r="15" spans="1:12" ht="31.5">
      <c r="A15" s="163" t="s">
        <v>221</v>
      </c>
      <c r="B15" s="164" t="s">
        <v>202</v>
      </c>
      <c r="C15" s="165">
        <v>1</v>
      </c>
      <c r="D15" s="166">
        <v>843</v>
      </c>
      <c r="E15" s="121" t="s">
        <v>227</v>
      </c>
      <c r="F15" s="112" t="s">
        <v>183</v>
      </c>
      <c r="G15" s="113">
        <v>9000</v>
      </c>
      <c r="L15" s="33" t="str">
        <f t="shared" si="0"/>
        <v>ТР</v>
      </c>
    </row>
    <row r="16" spans="1:12" ht="63">
      <c r="A16" s="171" t="s">
        <v>230</v>
      </c>
      <c r="B16" s="172" t="s">
        <v>202</v>
      </c>
      <c r="C16" s="119">
        <v>1</v>
      </c>
      <c r="D16" s="120">
        <v>2900</v>
      </c>
      <c r="E16" s="123" t="s">
        <v>231</v>
      </c>
      <c r="F16" s="112" t="s">
        <v>184</v>
      </c>
      <c r="G16" s="113">
        <v>12000</v>
      </c>
      <c r="L16" s="33" t="str">
        <f t="shared" si="0"/>
        <v>ТР</v>
      </c>
    </row>
    <row r="17" spans="1:12" ht="31.5">
      <c r="A17" s="173" t="s">
        <v>232</v>
      </c>
      <c r="B17" s="174" t="s">
        <v>202</v>
      </c>
      <c r="C17" s="139">
        <v>1</v>
      </c>
      <c r="D17" s="140">
        <v>2000</v>
      </c>
      <c r="E17" s="160" t="s">
        <v>234</v>
      </c>
      <c r="F17" s="112" t="s">
        <v>194</v>
      </c>
      <c r="G17" s="113">
        <v>50000</v>
      </c>
      <c r="L17" s="33" t="str">
        <f t="shared" si="0"/>
        <v>ТР</v>
      </c>
    </row>
    <row r="18" spans="1:12" ht="31.5">
      <c r="A18" s="173" t="s">
        <v>233</v>
      </c>
      <c r="B18" s="174" t="s">
        <v>202</v>
      </c>
      <c r="C18" s="139">
        <v>1</v>
      </c>
      <c r="D18" s="140">
        <v>3000</v>
      </c>
      <c r="E18" s="160" t="s">
        <v>235</v>
      </c>
      <c r="F18" s="112" t="s">
        <v>195</v>
      </c>
      <c r="G18" s="113">
        <v>30000</v>
      </c>
      <c r="L18" s="33" t="str">
        <f t="shared" si="0"/>
        <v>ТР</v>
      </c>
    </row>
    <row r="19" spans="1:12" ht="31.5">
      <c r="A19" s="130"/>
      <c r="B19" s="118"/>
      <c r="C19" s="119"/>
      <c r="D19" s="120"/>
      <c r="E19" s="123"/>
      <c r="F19" s="112" t="s">
        <v>222</v>
      </c>
      <c r="G19" s="113">
        <v>1000</v>
      </c>
      <c r="L19" s="33">
        <f t="shared" si="0"/>
        <v>0</v>
      </c>
    </row>
    <row r="20" spans="1:12" ht="47.25">
      <c r="A20" s="125"/>
      <c r="B20" s="118"/>
      <c r="C20" s="119"/>
      <c r="D20" s="122"/>
      <c r="E20" s="124"/>
      <c r="F20" s="112" t="s">
        <v>223</v>
      </c>
      <c r="G20" s="113">
        <v>200000</v>
      </c>
      <c r="L20" s="33">
        <f t="shared" si="0"/>
        <v>0</v>
      </c>
    </row>
    <row r="21" spans="1:12" ht="15.75">
      <c r="A21" s="125"/>
      <c r="B21" s="118"/>
      <c r="C21" s="119"/>
      <c r="D21" s="122"/>
      <c r="E21" s="121"/>
      <c r="F21" s="112"/>
      <c r="G21" s="113"/>
      <c r="L21" s="33">
        <f t="shared" si="0"/>
        <v>0</v>
      </c>
    </row>
    <row r="22" spans="1:12" ht="15.75">
      <c r="A22" s="125"/>
      <c r="B22" s="118"/>
      <c r="C22" s="119"/>
      <c r="D22" s="122"/>
      <c r="E22" s="121"/>
      <c r="F22" s="112"/>
      <c r="G22" s="113"/>
      <c r="L22" s="33">
        <f t="shared" si="0"/>
        <v>0</v>
      </c>
    </row>
    <row r="23" spans="1:12" ht="15.75">
      <c r="A23" s="130"/>
      <c r="B23" s="118"/>
      <c r="C23" s="119"/>
      <c r="D23" s="120"/>
      <c r="E23" s="123"/>
      <c r="F23" s="112"/>
      <c r="G23" s="113"/>
      <c r="L23" s="33">
        <f t="shared" ref="L23:L31" si="1">IF(A23&gt;0,"ТР",0)</f>
        <v>0</v>
      </c>
    </row>
    <row r="24" spans="1:12" ht="15.75">
      <c r="A24" s="126"/>
      <c r="B24" s="118"/>
      <c r="C24" s="127"/>
      <c r="D24" s="120"/>
      <c r="E24" s="124"/>
      <c r="F24" s="112"/>
      <c r="G24" s="113"/>
      <c r="L24" s="33">
        <f t="shared" si="1"/>
        <v>0</v>
      </c>
    </row>
    <row r="25" spans="1:12" ht="15.75">
      <c r="F25" s="128"/>
      <c r="G25" s="129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556968.6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556968.6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169354.68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169354.68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79696.320000000007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79696.320000000007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108676.8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108676.8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70639.92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70639.92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201052.08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201052.08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452820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452820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3"/>
      <c r="C47" s="134"/>
      <c r="D47" s="48"/>
      <c r="E47" s="133">
        <v>2008.8</v>
      </c>
      <c r="F47" s="133">
        <v>1440.9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5"/>
      <c r="C48" s="134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187</v>
      </c>
      <c r="F52" s="136" t="s">
        <v>188</v>
      </c>
      <c r="G52" s="136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33">
        <v>7547</v>
      </c>
      <c r="G53" s="136">
        <v>3.83</v>
      </c>
      <c r="H53" s="136">
        <f>G53*E47/F53</f>
        <v>1.0194387173711408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190</v>
      </c>
      <c r="G54" s="136" t="s">
        <v>191</v>
      </c>
      <c r="H54" s="136">
        <f>H53*G56</f>
        <v>71.36071021597985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70</v>
      </c>
      <c r="H56" s="136"/>
    </row>
    <row r="57" spans="5:16">
      <c r="E57" s="136"/>
      <c r="F57" s="136"/>
      <c r="G57" s="136"/>
      <c r="H57" s="136"/>
    </row>
    <row r="58" spans="5:16">
      <c r="E58" s="136" t="s">
        <v>192</v>
      </c>
      <c r="F58" s="136"/>
      <c r="G58" s="136"/>
      <c r="H58" s="136"/>
    </row>
    <row r="59" spans="5:16">
      <c r="E59" s="136">
        <v>0.59599999999999997</v>
      </c>
      <c r="F59" s="133">
        <f>F53</f>
        <v>7547</v>
      </c>
      <c r="G59" s="136">
        <v>7.4999999999999997E-2</v>
      </c>
      <c r="H59" s="136">
        <f>G59*F47</f>
        <v>108.06750000000001</v>
      </c>
    </row>
    <row r="60" spans="5:16">
      <c r="E60" s="136"/>
      <c r="F60" s="136" t="s">
        <v>190</v>
      </c>
      <c r="G60" s="136" t="s">
        <v>191</v>
      </c>
      <c r="H60" s="136">
        <f>H59/F59</f>
        <v>1.4319265933483505E-2</v>
      </c>
    </row>
    <row r="61" spans="5:16">
      <c r="E61" s="136"/>
      <c r="F61" s="136">
        <v>12.94</v>
      </c>
      <c r="G61" s="136">
        <v>13.45</v>
      </c>
      <c r="H61" s="136">
        <f>H60*G56</f>
        <v>1.0023486153438455</v>
      </c>
    </row>
    <row r="62" spans="5:16">
      <c r="E62" s="136" t="s">
        <v>193</v>
      </c>
      <c r="F62" s="136"/>
      <c r="G62" s="136"/>
      <c r="H62" s="136"/>
    </row>
    <row r="63" spans="5:16">
      <c r="E63" s="136">
        <v>0.59599999999999997</v>
      </c>
      <c r="F63" s="133">
        <f>F53</f>
        <v>7547</v>
      </c>
      <c r="G63" s="136">
        <v>7.4999999999999997E-2</v>
      </c>
      <c r="H63" s="136">
        <f>G63*F47</f>
        <v>108.06750000000001</v>
      </c>
    </row>
    <row r="64" spans="5:16">
      <c r="E64" s="136"/>
      <c r="F64" s="136" t="s">
        <v>190</v>
      </c>
      <c r="G64" s="136" t="s">
        <v>191</v>
      </c>
      <c r="H64" s="136">
        <f>H63/F63</f>
        <v>1.4319265933483505E-2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1.0023486153438455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eOpxOi5MWW1h9Ak74sj1kJFAPTBeNtmkYYlFo5evnsouV6rPTylWEgHM464t4CpLZnpa/8i+d3UVi7987qkvQ==" saltValue="vXMOjzej7WvocvYigiCC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7547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1920459.4000000001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2001464.4000000001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f>18.1*F1*12</f>
        <v>1639208.4000000001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362256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1946623.290000001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1946623.290000001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1946623.290000001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1975300.5099999993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105</v>
      </c>
      <c r="B27" s="75" t="s">
        <v>4</v>
      </c>
      <c r="C27" s="86">
        <v>235746.68</v>
      </c>
      <c r="D27" s="81" t="s">
        <v>60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108</v>
      </c>
      <c r="B30" s="75" t="s">
        <v>18</v>
      </c>
      <c r="C30" s="86">
        <f>C27+38803.96</f>
        <v>274550.64</v>
      </c>
      <c r="D30" s="81" t="s">
        <v>66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607881.1</v>
      </c>
      <c r="F37" s="94" t="s">
        <v>167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480906.56128830521</v>
      </c>
      <c r="D38" s="94" t="s">
        <v>165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576444.6599999998</v>
      </c>
      <c r="D39" s="94" t="s">
        <v>166</v>
      </c>
      <c r="E39" s="175"/>
      <c r="G39" s="67"/>
      <c r="H39" s="67"/>
      <c r="L39" s="63"/>
      <c r="M39" s="205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31436.440000000177</v>
      </c>
      <c r="D40" s="80" t="s">
        <v>59</v>
      </c>
      <c r="E40" s="175"/>
      <c r="G40" s="67"/>
      <c r="H40" s="67"/>
      <c r="L40" s="63"/>
      <c r="M40" s="205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607881.1</v>
      </c>
      <c r="D41" s="80" t="s">
        <v>59</v>
      </c>
      <c r="E41" s="175"/>
      <c r="G41" s="67"/>
      <c r="H41" s="67"/>
      <c r="L41" s="63"/>
      <c r="M41" s="205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607881.1</v>
      </c>
      <c r="D42" s="80" t="s">
        <v>59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179554.07000000004</v>
      </c>
      <c r="F45" s="94" t="s">
        <v>167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13115.11890390575</v>
      </c>
      <c r="D46" s="94" t="s">
        <v>168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177384.33</v>
      </c>
      <c r="D47" s="94" t="s">
        <v>166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2169.7400000000489</v>
      </c>
      <c r="D48" s="80" t="s">
        <v>59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179554.07000000004</v>
      </c>
      <c r="D49" s="80" t="s">
        <v>59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179554.07000000004</v>
      </c>
      <c r="D50" s="80" t="s">
        <v>59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338954.52</v>
      </c>
      <c r="F53" s="94" t="s">
        <v>167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20364.240058455791</v>
      </c>
      <c r="D54" s="94" t="s">
        <v>168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333756.73999999987</v>
      </c>
      <c r="D55" s="94" t="s">
        <v>166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5197.7800000001444</v>
      </c>
      <c r="D56" s="80" t="s">
        <v>59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338954.52</v>
      </c>
      <c r="D57" s="80" t="s">
        <v>59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338954.52</v>
      </c>
      <c r="D58" s="80" t="s">
        <v>59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/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/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/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3" sqref="E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2023-03-31T03:06:27Z</dcterms:modified>
</cp:coreProperties>
</file>