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C7" i="3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19" i="1" l="1"/>
  <c r="A123" i="1"/>
  <c r="A118" i="1"/>
  <c r="D118" i="1"/>
  <c r="A120" i="1"/>
  <c r="A124" i="1"/>
  <c r="F118" i="1"/>
  <c r="A121" i="1"/>
  <c r="A125" i="1"/>
  <c r="A140" i="1"/>
  <c r="F134" i="1"/>
  <c r="A110" i="1"/>
  <c r="A141" i="1"/>
  <c r="A136" i="1"/>
  <c r="A114" i="1"/>
  <c r="D134" i="1"/>
  <c r="A137" i="1"/>
  <c r="A111" i="1"/>
  <c r="A115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<sst xmlns="http://schemas.openxmlformats.org/spreadsheetml/2006/main" count="567" uniqueCount="213">
  <si>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</si>
  <si>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</si>
  <si>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</si>
  <si>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</si>
  <si>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</si>
  <si>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</si>
  <si>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</si>
  <si>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</si>
  <si>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</si>
  <si>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</si>
  <si>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</si>
  <si>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</si>
  <si>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</si>
  <si>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</si>
  <si>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</si>
  <si>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</si>
  <si>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</si>
  <si>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</si>
  <si>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</si>
  <si>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</si>
  <si>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</si>
  <si>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</si>
  <si>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</si>
  <si>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</si>
  <si>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</si>
  <si>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</si>
  <si>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</si>
  <si>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</si>
  <si>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</si>
  <si>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</si>
  <si>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</si>
  <si>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</si>
  <si>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</si>
  <si>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</si>
  <si>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</si>
  <si>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</si>
  <si>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</si>
  <si>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</si>
  <si>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</si>
  <si>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</si>
  <si>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</si>
  <si>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</si>
  <si>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</si>
  <si>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</si>
  <si>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</si>
  <si>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</si>
  <si>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</si>
  <si>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</si>
  <si>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</si>
  <si>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</si>
  <si>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</si>
  <si>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</si>
  <si>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</si>
  <si>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</si>
  <si>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</si>
  <si>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</si>
  <si>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</si>
  <si>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</si>
  <si>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</si>
  <si>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</si>
  <si>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</si>
  <si>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</si>
  <si>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</si>
  <si>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</si>
  <si>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</si>
  <si>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</si>
  <si>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</si>
  <si>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</si>
  <si>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</si>
  <si>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</si>
  <si>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</si>
  <si>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</si>
  <si>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</si>
  <si>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</si>
  <si>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</si>
  <si>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</si>
  <si>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</si>
  <si>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</si>
  <si>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</si>
  <si>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</si>
  <si>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</si>
  <si>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</si>
  <si>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</si>
  <si>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</si>
  <si>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</si>
  <si>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</si>
  <si>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</si>
  <si>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</si>
  <si>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</si>
  <si>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</si>
  <si>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</si>
  <si>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</si>
  <si>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</si>
  <si>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</si>
  <si>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</si>
  <si>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</si>
  <si>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</si>
  <si>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</si>
  <si>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</si>
  <si>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</si>
  <si>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</si>
  <si>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</si>
  <si>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</si>
  <si>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</si>
  <si>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</si>
  <si>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</si>
  <si>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</si>
  <si>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</si>
  <si>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</si>
  <si>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</si>
  <si>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</si>
  <si>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</si>
  <si>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</si>
  <si>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</si>
  <si>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</si>
  <si>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</si>
  <si>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</si>
  <si>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</si>
  <si>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</si>
  <si>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</si>
  <si>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</si>
  <si>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</si>
  <si>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</si>
  <si>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</si>
  <si>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</si>
  <si>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</si>
  <si>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</si>
  <si>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</si>
  <si>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</si>
  <si>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</si>
  <si>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</si>
  <si>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</si>
  <si>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</si>
  <si>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</si>
  <si>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</si>
  <si>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</si>
  <si>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</si>
  <si>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</si>
  <si>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</si>
  <si>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</si>
  <si>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</si>
  <si>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</si>
  <si>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</si>
  <si>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</si>
  <si>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</si>
  <si>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</si>
  <si>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</si>
  <si>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</si>
  <si>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</si>
  <si>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</si>
  <si>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</si>
  <si>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</si>
  <si>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</si>
  <si>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</si>
  <si>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</si>
  <si>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</si>
  <si>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</si>
  <si>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</si>
  <si>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</si>
  <si>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</si>
  <si>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</si>
  <si>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</si>
  <si>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</si>
  <si>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</si>
  <si>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</si>
  <si>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</si>
  <si>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</si>
  <si>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</si>
  <si>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</si>
  <si>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</si>
  <si>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</si>
  <si>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</si>
  <si>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</si>
  <si>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</si>
  <si>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</si>
  <si>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307</t>
  </si>
  <si>
    <t>площадь дома</t>
  </si>
  <si>
    <t>с 01.12.2019, приказ №37 от 14.11.2019, протокол №1 от 04.11.2019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</si>
  <si>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</si>
  <si>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</si>
  <si>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</si>
  <si>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307 в части текущего ремонта</t>
  </si>
  <si>
    <t>с 01.12.2020, приказ №31 от 14.14.2020, протокол №2-2 от 28.11.2020</t>
  </si>
  <si>
    <t>охрана и лифты в содержании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</si>
  <si>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</si>
  <si>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</si>
  <si>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2021 года (руб.):</t>
  </si>
  <si>
    <t>Начислено за  текущий ремонт в 2021 году (руб.):</t>
  </si>
  <si>
    <t>Замена фланцевой вибромуфты на трубопроводе ГВС.</t>
  </si>
  <si>
    <t>разово</t>
  </si>
  <si>
    <t>АВР 1/21  от 01.03.2021</t>
  </si>
  <si>
    <t>Ремонт платы привода дверей кабины лифта.</t>
  </si>
  <si>
    <t>Замена табло индикации лифта.</t>
  </si>
  <si>
    <t>Приобретение и монтаж реверсионного электропривода (BLE230B) на 3, 6, 11 этажах системы пожарной безопасности.</t>
  </si>
  <si>
    <t>АВР 2/21 от 15.07.2021, Решение, счет №18 от 27.01.2021</t>
  </si>
  <si>
    <t>АВР 3/21 от 15.07.2021, Решение, счет №11 от 22.01.2021</t>
  </si>
  <si>
    <t>Перерасход (+) или экономия 
(-) средств по состоянию на 30 декабря 2021 года (руб.):</t>
  </si>
  <si>
    <t>АВР 4/21 от 10.12.2021, Решение, счет №194 от 08.06.2021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</si>
  <si>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</si>
  <si>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</si>
  <si>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</si>
  <si>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</si>
  <si>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</si>
  <si>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</si>
  <si>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</si>
  <si>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</si>
  <si>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Работы по обеспечению пожарной безопасности и охрана ТП</t>
  </si>
  <si>
    <t>Вывоз снега с придомовой территории</t>
  </si>
  <si>
    <t>По мере необходимости</t>
  </si>
  <si>
    <t xml:space="preserve">  - изготовление и монтаж резинопола на крыльцо</t>
  </si>
  <si>
    <t xml:space="preserve">  -  изготовление и монтаж ограждения по периметру газона (со стороны Байкальского тракта)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</si>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</sst>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" fillId="0" borderId="0"/>
  </cellStyleXfs>
  <cellXfs count="19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4" fillId="0" borderId="0" xfId="5" applyFill="1" applyBorder="1" applyAlignment="1"/>
    <xf numFmtId="0" fontId="14" fillId="0" borderId="0" xfId="6" applyFill="1" applyBorder="1" applyAlignment="1">
      <alignment horizontal="center"/>
    </xf>
    <xf numFmtId="0" fontId="28" fillId="0" borderId="0" xfId="6" applyFont="1" applyFill="1" applyBorder="1" applyAlignment="1">
      <alignment horizontal="center"/>
    </xf>
    <xf numFmtId="4" fontId="28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3" fillId="0" borderId="0" xfId="2" applyFont="1" applyFill="1" applyBorder="1" applyAlignment="1"/>
    <xf numFmtId="0" fontId="0" fillId="0" borderId="0" xfId="0" applyFill="1"/>
    <xf numFmtId="4" fontId="2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3" fillId="0" borderId="0" xfId="6" applyFont="1" applyFill="1" applyBorder="1" applyAlignment="1">
      <alignment horizontal="center"/>
    </xf>
    <xf numFmtId="4" fontId="20" fillId="0" borderId="0" xfId="0" applyNumberFormat="1" applyFont="1" applyBorder="1"/>
    <xf numFmtId="0" fontId="11" fillId="0" borderId="0" xfId="2" applyFont="1" applyFill="1" applyBorder="1" applyAlignment="1"/>
    <xf numFmtId="0" fontId="12" fillId="0" borderId="0" xfId="6" applyFont="1" applyFill="1" applyBorder="1" applyAlignment="1">
      <alignment horizontal="center"/>
    </xf>
    <xf numFmtId="0" fontId="0" fillId="0" borderId="0" xfId="0" applyFill="1" applyBorder="1"/>
    <xf numFmtId="1" fontId="10" fillId="0" borderId="0" xfId="7" applyNumberFormat="1" applyFill="1" applyBorder="1" applyAlignment="1">
      <alignment horizontal="center"/>
    </xf>
    <xf numFmtId="4" fontId="28" fillId="0" borderId="0" xfId="7" applyNumberFormat="1" applyFont="1" applyFill="1" applyBorder="1" applyAlignment="1"/>
    <xf numFmtId="0" fontId="38" fillId="0" borderId="0" xfId="5" applyFont="1" applyFill="1" applyBorder="1" applyAlignment="1">
      <alignment wrapText="1"/>
    </xf>
    <xf numFmtId="0" fontId="9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7" fillId="0" borderId="0" xfId="5" applyFont="1" applyFill="1" applyBorder="1" applyAlignment="1"/>
    <xf numFmtId="0" fontId="7" fillId="0" borderId="0" xfId="6" applyFont="1" applyFill="1" applyBorder="1" applyAlignment="1">
      <alignment horizontal="center"/>
    </xf>
    <xf numFmtId="0" fontId="38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4" fontId="14" fillId="0" borderId="0" xfId="6" applyNumberFormat="1" applyFill="1" applyBorder="1" applyAlignment="1"/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0" fontId="4" fillId="0" borderId="0" xfId="7" applyFont="1" applyFill="1" applyBorder="1" applyAlignment="1">
      <alignment wrapText="1"/>
    </xf>
    <xf numFmtId="0" fontId="4" fillId="0" borderId="0" xfId="7" applyFont="1" applyFill="1" applyBorder="1" applyAlignment="1">
      <alignment horizontal="center"/>
    </xf>
    <xf numFmtId="0" fontId="4" fillId="0" borderId="0" xfId="8" applyFont="1" applyFill="1"/>
    <xf numFmtId="0" fontId="3" fillId="0" borderId="0" xfId="2" applyFont="1" applyFill="1" applyBorder="1" applyAlignment="1"/>
    <xf numFmtId="0" fontId="3" fillId="0" borderId="0" xfId="6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14" fillId="0" borderId="0" xfId="5" applyFill="1" applyBorder="1" applyAlignment="1">
      <alignment horizontal="center"/>
    </xf>
    <xf numFmtId="4" fontId="28" fillId="0" borderId="0" xfId="5" applyNumberFormat="1" applyFont="1" applyFill="1" applyBorder="1" applyAlignment="1"/>
    <xf numFmtId="4" fontId="28" fillId="0" borderId="0" xfId="5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30" fillId="3" borderId="0" xfId="9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3" xfId="8"/>
    <cellStyle name="Обычный 2 5 2" xfId="9"/>
    <cellStyle name="Обычный 3" xfId="2"/>
    <cellStyle name="Обычный 4" xfId="4"/>
    <cellStyle name="Обычный 4 2" xfId="6"/>
    <cellStyle name="Обычный 5" xfId="5"/>
    <cellStyle name="Обычный 5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4" sqref="L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175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9"/>
      <c r="L8" s="181"/>
      <c r="M8" s="109"/>
      <c r="N8" s="109"/>
      <c r="O8" s="70" t="s">
        <v>81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9"/>
      <c r="L9" s="181"/>
      <c r="M9" s="109"/>
      <c r="N9" s="109"/>
      <c r="O9" s="70" t="s">
        <v>82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1157061.6100000001</v>
      </c>
      <c r="K10" s="109"/>
      <c r="L10" s="181"/>
      <c r="M10" s="109"/>
      <c r="N10" s="109"/>
      <c r="O10" s="70" t="s">
        <v>83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1174571.31</v>
      </c>
      <c r="K11" s="109"/>
      <c r="L11" s="181"/>
      <c r="M11" s="109"/>
      <c r="N11" s="109"/>
      <c r="O11" s="70" t="s">
        <v>84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880090.99</v>
      </c>
      <c r="K12" s="109"/>
      <c r="L12" s="181"/>
      <c r="M12" s="109"/>
      <c r="N12" s="109"/>
      <c r="O12" s="70" t="s">
        <v>85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146558.76</v>
      </c>
      <c r="K13" s="109"/>
      <c r="L13" s="181"/>
      <c r="M13" s="109"/>
      <c r="N13" s="109"/>
      <c r="O13" s="70" t="s">
        <v>86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147921.56</v>
      </c>
      <c r="K14" s="109"/>
      <c r="L14" s="181"/>
      <c r="M14" s="109"/>
      <c r="N14" s="109"/>
      <c r="O14" s="70" t="s">
        <v>87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1282806.43</v>
      </c>
      <c r="K15" s="109"/>
      <c r="L15" s="181"/>
      <c r="M15" s="109"/>
      <c r="N15" s="109"/>
      <c r="O15" s="70" t="s">
        <v>88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1282806.43</v>
      </c>
      <c r="K16" s="109"/>
      <c r="L16" s="181"/>
      <c r="M16" s="109"/>
      <c r="N16" s="109"/>
      <c r="O16" s="70" t="s">
        <v>89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9"/>
      <c r="L17" s="181"/>
      <c r="M17" s="109"/>
      <c r="N17" s="109"/>
      <c r="O17" s="70" t="s">
        <v>90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9"/>
      <c r="L18" s="181"/>
      <c r="M18" s="109"/>
      <c r="N18" s="109"/>
      <c r="O18" s="70" t="s">
        <v>91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9"/>
      <c r="L19" s="181"/>
      <c r="M19" s="109"/>
      <c r="N19" s="109"/>
      <c r="O19" s="70" t="s">
        <v>92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9"/>
      <c r="L20" s="181"/>
      <c r="M20" s="109"/>
      <c r="N20" s="109"/>
      <c r="O20" s="70" t="s">
        <v>93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1282806.43</v>
      </c>
      <c r="K21" s="109"/>
      <c r="L21" s="181"/>
      <c r="M21" s="109"/>
      <c r="N21" s="109"/>
      <c r="O21" s="70" t="s">
        <v>94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9"/>
      <c r="L22" s="181"/>
      <c r="M22" s="109"/>
      <c r="N22" s="109"/>
      <c r="O22" s="70" t="s">
        <v>95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9"/>
      <c r="L23" s="181"/>
      <c r="M23" s="109"/>
      <c r="N23" s="109"/>
      <c r="O23" s="70" t="s">
        <v>96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1048826.49</v>
      </c>
      <c r="K24" s="109"/>
      <c r="L24" s="18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238954.56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70">
        <f>VLOOKUP(A29,ПТО!$A$39:$D$53,2,FALSE)</f>
        <v>184791.48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115335.36000000002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76465.440000000002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63721.200000000004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121707.48000000001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Работы по обеспечению пожарной безопасности и охрана ТП</v>
      </c>
      <c r="B35" s="165"/>
      <c r="C35" s="165"/>
      <c r="D35" s="165"/>
      <c r="E35" s="165"/>
      <c r="F35" s="170">
        <f>VLOOKUP(A35,ПТО!$A$39:$D$53,2,FALSE)</f>
        <v>64358.411999999997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9"/>
      <c r="L35" s="182"/>
      <c r="M35" s="115"/>
      <c r="N35" s="109"/>
      <c r="O35" s="23" t="str">
        <f t="shared" si="1"/>
        <v>Работы по обеспечению пожарной безопасности и охрана ТП</v>
      </c>
      <c r="R35" s="1" t="s">
        <v>71</v>
      </c>
    </row>
    <row r="36" spans="1:18" ht="51" customHeight="1" outlineLevel="1">
      <c r="A36" s="165" t="str">
        <f>ПТО!A47</f>
        <v>Коммунальные ресурсы на содержание общего имущества</v>
      </c>
      <c r="B36" s="165"/>
      <c r="C36" s="165"/>
      <c r="D36" s="165"/>
      <c r="E36" s="165"/>
      <c r="F36" s="170">
        <f>VLOOKUP(A36,ПТО!$A$39:$D$53,2,FALSE)</f>
        <v>93585.943350000001</v>
      </c>
      <c r="G36" s="170"/>
      <c r="H36" s="42" t="str">
        <f>VLOOKUP(A36,ПТО!$A$39:$D$53,3,FALSE)</f>
        <v>Ежемесячно</v>
      </c>
      <c r="I36" s="166">
        <f>VLOOKUP(A36,ПТО!$A$39:$D$53,4,FALSE)</f>
        <v>12</v>
      </c>
      <c r="J36" s="166"/>
      <c r="K36" s="109"/>
      <c r="L36" s="182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customHeight="1" outlineLevel="1">
      <c r="A37" s="165" t="str">
        <f>ПТО!A48</f>
        <v>Вывоз снега с придомовой территории</v>
      </c>
      <c r="B37" s="165"/>
      <c r="C37" s="165"/>
      <c r="D37" s="165"/>
      <c r="E37" s="165"/>
      <c r="F37" s="170">
        <f>VLOOKUP(A37,ПТО!$A$39:$D$53,2,FALSE)</f>
        <v>26762.879999999997</v>
      </c>
      <c r="G37" s="170"/>
      <c r="H37" s="42" t="str">
        <f>VLOOKUP(A37,ПТО!$A$39:$D$53,3,FALSE)</f>
        <v>По мере необходимости</v>
      </c>
      <c r="I37" s="166">
        <f>VLOOKUP(A37,ПТО!$A$39:$D$53,4,FALSE)</f>
        <v>12</v>
      </c>
      <c r="J37" s="166"/>
      <c r="K37" s="109"/>
      <c r="L37" s="182"/>
      <c r="M37" s="115"/>
      <c r="N37" s="109"/>
      <c r="O37" s="23" t="str">
        <f t="shared" si="1"/>
        <v>Вывоз снега с придомовой территории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9"/>
      <c r="L38" s="18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9"/>
      <c r="L39" s="18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9"/>
      <c r="L40" s="18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9"/>
      <c r="L41" s="18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9"/>
      <c r="L42" s="18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Замена фланцевой вибромуфты на трубопроводе ГВС.</v>
      </c>
      <c r="B43" s="165"/>
      <c r="C43" s="165"/>
      <c r="D43" s="165"/>
      <c r="E43" s="165"/>
      <c r="F43" s="170">
        <f>VLOOKUP(A43,ПТО!$A$2:$D$31,4,FALSE)</f>
        <v>3591.95</v>
      </c>
      <c r="G43" s="170"/>
      <c r="H43" s="19" t="str">
        <f>VLOOKUP(A43,ПТО!$A$2:$D$31,2,FALSE)</f>
        <v>разово</v>
      </c>
      <c r="I43" s="166">
        <f>VLOOKUP(A43,ПТО!$A$2:$D$31,3,FALSE)</f>
        <v>1</v>
      </c>
      <c r="J43" s="166"/>
      <c r="K43" s="109"/>
      <c r="L43" s="182"/>
      <c r="M43" s="115"/>
      <c r="N43" s="109"/>
      <c r="O43" s="23" t="str">
        <f t="shared" si="1"/>
        <v>Замена фланцевой вибромуфты на трубопроводе ГВС.</v>
      </c>
      <c r="R43" s="22" t="s">
        <v>72</v>
      </c>
    </row>
    <row r="44" spans="1:18" ht="51" customHeight="1" outlineLevel="1">
      <c r="A44" s="165" t="str">
        <f>ПТО!A3</f>
        <v>Ремонт платы привода дверей кабины лифта.</v>
      </c>
      <c r="B44" s="165"/>
      <c r="C44" s="165"/>
      <c r="D44" s="165"/>
      <c r="E44" s="165"/>
      <c r="F44" s="170">
        <f>VLOOKUP(A44,ПТО!$A$2:$D$31,4,FALSE)</f>
        <v>15353</v>
      </c>
      <c r="G44" s="170"/>
      <c r="H44" s="25" t="str">
        <f>VLOOKUP(A44,ПТО!$A$2:$D$31,2,FALSE)</f>
        <v>разово</v>
      </c>
      <c r="I44" s="166">
        <f>VLOOKUP(A44,ПТО!$A$2:$D$31,3,FALSE)</f>
        <v>1</v>
      </c>
      <c r="J44" s="166"/>
      <c r="K44" s="109"/>
      <c r="L44" s="182"/>
      <c r="M44" s="115"/>
      <c r="N44" s="109"/>
      <c r="O44" s="23" t="str">
        <f t="shared" si="1"/>
        <v>Ремонт платы привода дверей кабины лифта.</v>
      </c>
      <c r="R44" s="22" t="s">
        <v>72</v>
      </c>
    </row>
    <row r="45" spans="1:18" ht="51" customHeight="1" outlineLevel="1">
      <c r="A45" s="165" t="str">
        <f>ПТО!A4</f>
        <v>Замена табло индикации лифта.</v>
      </c>
      <c r="B45" s="165"/>
      <c r="C45" s="165"/>
      <c r="D45" s="165"/>
      <c r="E45" s="165"/>
      <c r="F45" s="170">
        <f>VLOOKUP(A45,ПТО!$A$2:$D$31,4,FALSE)</f>
        <v>9375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9"/>
      <c r="L45" s="182"/>
      <c r="M45" s="115"/>
      <c r="N45" s="109"/>
      <c r="O45" s="23" t="str">
        <f t="shared" si="1"/>
        <v>Замена табло индикации лифта.</v>
      </c>
      <c r="R45" s="22" t="s">
        <v>72</v>
      </c>
    </row>
    <row r="46" spans="1:18" ht="51" customHeight="1" outlineLevel="1">
      <c r="A46" s="165" t="str">
        <f>ПТО!A5</f>
        <v>Приобретение и монтаж реверсионного электропривода (BLE230B) на 3, 6, 11 этажах системы пожарной безопасности.</v>
      </c>
      <c r="B46" s="165"/>
      <c r="C46" s="165"/>
      <c r="D46" s="165"/>
      <c r="E46" s="165"/>
      <c r="F46" s="170">
        <f>VLOOKUP(A46,ПТО!$A$2:$D$31,4,FALSE)</f>
        <v>15900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9"/>
      <c r="L46" s="182"/>
      <c r="M46" s="115"/>
      <c r="N46" s="109"/>
      <c r="O46" s="23" t="str">
        <f t="shared" si="1"/>
        <v>Приобретение и монтаж реверсионного электропривода (BLE230B) на 3, 6, 11 этажах системы пожарной безопасности.</v>
      </c>
      <c r="R46" s="22" t="s">
        <v>72</v>
      </c>
    </row>
    <row r="47" spans="1:18" ht="51" hidden="1" customHeight="1" outlineLevel="1">
      <c r="A47" s="165">
        <f>ПТО!A6</f>
        <v>0</v>
      </c>
      <c r="B47" s="165"/>
      <c r="C47" s="165"/>
      <c r="D47" s="165"/>
      <c r="E47" s="165"/>
      <c r="F47" s="170" t="e">
        <f>VLOOKUP(A47,ПТО!$A$2:$D$31,4,FALSE)</f>
        <v>#N/A</v>
      </c>
      <c r="G47" s="170"/>
      <c r="H47" s="25" t="e">
        <f>VLOOKUP(A47,ПТО!$A$2:$D$31,2,FALSE)</f>
        <v>#N/A</v>
      </c>
      <c r="I47" s="166" t="e">
        <f>VLOOKUP(A47,ПТО!$A$2:$D$31,3,FALSE)</f>
        <v>#N/A</v>
      </c>
      <c r="J47" s="166"/>
      <c r="K47" s="109"/>
      <c r="L47" s="182"/>
      <c r="M47" s="115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65">
        <f>ПТО!A7</f>
        <v>0</v>
      </c>
      <c r="B48" s="165"/>
      <c r="C48" s="165"/>
      <c r="D48" s="165"/>
      <c r="E48" s="165"/>
      <c r="F48" s="170" t="e">
        <f>VLOOKUP(A48,ПТО!$A$2:$D$31,4,FALSE)</f>
        <v>#N/A</v>
      </c>
      <c r="G48" s="170"/>
      <c r="H48" s="25" t="e">
        <f>VLOOKUP(A48,ПТО!$A$2:$D$31,2,FALSE)</f>
        <v>#N/A</v>
      </c>
      <c r="I48" s="166" t="e">
        <f>VLOOKUP(A48,ПТО!$A$2:$D$31,3,FALSE)</f>
        <v>#N/A</v>
      </c>
      <c r="J48" s="166"/>
      <c r="K48" s="109"/>
      <c r="L48" s="182"/>
      <c r="M48" s="115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65">
        <f>ПТО!A8</f>
        <v>0</v>
      </c>
      <c r="B49" s="165"/>
      <c r="C49" s="165"/>
      <c r="D49" s="165"/>
      <c r="E49" s="165"/>
      <c r="F49" s="170" t="e">
        <f>VLOOKUP(A49,ПТО!$A$2:$D$31,4,FALSE)</f>
        <v>#N/A</v>
      </c>
      <c r="G49" s="170"/>
      <c r="H49" s="25" t="e">
        <f>VLOOKUP(A49,ПТО!$A$2:$D$31,2,FALSE)</f>
        <v>#N/A</v>
      </c>
      <c r="I49" s="166" t="e">
        <f>VLOOKUP(A49,ПТО!$A$2:$D$31,3,FALSE)</f>
        <v>#N/A</v>
      </c>
      <c r="J49" s="166"/>
      <c r="K49" s="109"/>
      <c r="L49" s="182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65">
        <f>ПТО!A9</f>
        <v>0</v>
      </c>
      <c r="B50" s="165"/>
      <c r="C50" s="165"/>
      <c r="D50" s="165"/>
      <c r="E50" s="165"/>
      <c r="F50" s="170" t="e">
        <f>VLOOKUP(A50,ПТО!$A$2:$D$31,4,FALSE)</f>
        <v>#N/A</v>
      </c>
      <c r="G50" s="170"/>
      <c r="H50" s="25" t="e">
        <f>VLOOKUP(A50,ПТО!$A$2:$D$31,2,FALSE)</f>
        <v>#N/A</v>
      </c>
      <c r="I50" s="166" t="e">
        <f>VLOOKUP(A50,ПТО!$A$2:$D$31,3,FALSE)</f>
        <v>#N/A</v>
      </c>
      <c r="J50" s="166"/>
      <c r="K50" s="109"/>
      <c r="L50" s="182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70" t="e">
        <f>VLOOKUP(A51,ПТО!$A$2:$D$31,4,FALSE)</f>
        <v>#N/A</v>
      </c>
      <c r="G51" s="170"/>
      <c r="H51" s="25" t="e">
        <f>VLOOKUP(A51,ПТО!$A$2:$D$31,2,FALSE)</f>
        <v>#N/A</v>
      </c>
      <c r="I51" s="166" t="e">
        <f>VLOOKUP(A51,ПТО!$A$2:$D$31,3,FALSE)</f>
        <v>#N/A</v>
      </c>
      <c r="J51" s="166"/>
      <c r="K51" s="109"/>
      <c r="L51" s="182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70" t="e">
        <f>VLOOKUP(A52,ПТО!$A$2:$D$31,4,FALSE)</f>
        <v>#N/A</v>
      </c>
      <c r="G52" s="170"/>
      <c r="H52" s="25" t="e">
        <f>VLOOKUP(A52,ПТО!$A$2:$D$31,2,FALSE)</f>
        <v>#N/A</v>
      </c>
      <c r="I52" s="166" t="e">
        <f>VLOOKUP(A52,ПТО!$A$2:$D$31,3,FALSE)</f>
        <v>#N/A</v>
      </c>
      <c r="J52" s="166"/>
      <c r="K52" s="109"/>
      <c r="L52" s="182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70" t="e">
        <f>VLOOKUP(A53,ПТО!$A$2:$D$31,4,FALSE)</f>
        <v>#N/A</v>
      </c>
      <c r="G53" s="170"/>
      <c r="H53" s="25" t="e">
        <f>VLOOKUP(A53,ПТО!$A$2:$D$31,2,FALSE)</f>
        <v>#N/A</v>
      </c>
      <c r="I53" s="166" t="e">
        <f>VLOOKUP(A53,ПТО!$A$2:$D$31,3,FALSE)</f>
        <v>#N/A</v>
      </c>
      <c r="J53" s="166"/>
      <c r="K53" s="109"/>
      <c r="L53" s="182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9"/>
      <c r="L54" s="18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9"/>
      <c r="L55" s="18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9"/>
      <c r="L56" s="18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9"/>
      <c r="L57" s="18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9"/>
      <c r="L58" s="18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9"/>
      <c r="L59" s="18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9"/>
      <c r="L60" s="18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9"/>
      <c r="L61" s="18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9"/>
      <c r="L62" s="18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9"/>
      <c r="L63" s="18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9"/>
      <c r="L64" s="18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9"/>
      <c r="L65" s="18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9"/>
      <c r="L66" s="18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9"/>
      <c r="L67" s="18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9"/>
      <c r="L68" s="18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9"/>
      <c r="L69" s="18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9"/>
      <c r="L70" s="18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9"/>
      <c r="L72" s="18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85"/>
      <c r="M75" s="109"/>
      <c r="N75" s="109"/>
      <c r="O75" s="70" t="s">
        <v>98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85"/>
      <c r="M76" s="109"/>
      <c r="N76" s="109"/>
      <c r="O76" s="70" t="s">
        <v>99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85"/>
      <c r="M77" s="109"/>
      <c r="N77" s="109"/>
      <c r="O77" s="70" t="s">
        <v>100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85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7">
        <f t="shared" ref="J81:J90" si="2">VLOOKUP(O81,АО,3,FALSE)</f>
        <v>0</v>
      </c>
      <c r="K81" s="109"/>
      <c r="L81" s="171"/>
      <c r="M81" s="109"/>
      <c r="N81" s="109"/>
      <c r="O81" s="70" t="s">
        <v>102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7">
        <f t="shared" si="2"/>
        <v>0</v>
      </c>
      <c r="K82" s="109"/>
      <c r="L82" s="171"/>
      <c r="M82" s="109"/>
      <c r="N82" s="109"/>
      <c r="O82" s="70" t="s">
        <v>103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88667.19</v>
      </c>
      <c r="K83" s="109"/>
      <c r="L83" s="171"/>
      <c r="M83" s="109"/>
      <c r="N83" s="109"/>
      <c r="O83" s="70" t="s">
        <v>104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71"/>
      <c r="M84" s="109"/>
      <c r="N84" s="109"/>
      <c r="O84" s="70" t="s">
        <v>105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71"/>
      <c r="M85" s="109"/>
      <c r="N85" s="109"/>
      <c r="O85" s="70" t="s">
        <v>106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74950.87</v>
      </c>
      <c r="K86" s="109"/>
      <c r="L86" s="171"/>
      <c r="M86" s="109"/>
      <c r="N86" s="109"/>
      <c r="O86" s="70" t="s">
        <v>107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71"/>
      <c r="M87" s="109"/>
      <c r="N87" s="109"/>
      <c r="O87" s="70" t="s">
        <v>108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71"/>
      <c r="M88" s="109"/>
      <c r="N88" s="109"/>
      <c r="O88" s="70" t="s">
        <v>109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71"/>
      <c r="M89" s="109"/>
      <c r="N89" s="109"/>
      <c r="O89" s="70" t="s">
        <v>110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7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9">
        <f>VLOOKUP("эл",АО,5,FALSE)</f>
        <v>97338.15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81115.13</v>
      </c>
      <c r="L95" s="172"/>
      <c r="O95" s="1" t="s">
        <v>112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110275.14</v>
      </c>
      <c r="L96" s="172"/>
      <c r="O96" s="1" t="s">
        <v>113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72"/>
      <c r="O97" s="1" t="s">
        <v>114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97338.15</v>
      </c>
      <c r="L98" s="172"/>
      <c r="O98" s="1" t="s">
        <v>115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97338.15</v>
      </c>
      <c r="L99" s="172"/>
      <c r="O99" s="1" t="s">
        <v>116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117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141342.75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10707.78</v>
      </c>
      <c r="L103" s="172"/>
      <c r="O103" s="1" t="s">
        <v>121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142623.24</v>
      </c>
      <c r="L104" s="172"/>
      <c r="O104" s="1" t="s">
        <v>122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141342.75</v>
      </c>
      <c r="L106" s="172"/>
      <c r="O106" s="1" t="s">
        <v>124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141342.75</v>
      </c>
      <c r="L107" s="172"/>
      <c r="O107" s="1" t="s">
        <v>125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275248.87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17160.150000000001</v>
      </c>
      <c r="L111" s="172"/>
      <c r="O111" s="1" t="s">
        <v>129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275477.14</v>
      </c>
      <c r="L112" s="172"/>
      <c r="O112" s="1" t="s">
        <v>130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0</v>
      </c>
      <c r="L113" s="172"/>
      <c r="O113" s="1" t="s">
        <v>131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275248.87</v>
      </c>
      <c r="L114" s="172"/>
      <c r="O114" s="1" t="s">
        <v>132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275248.87</v>
      </c>
      <c r="L115" s="172"/>
      <c r="O115" s="1" t="s">
        <v>133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7" t="str">
        <f>IF(VLOOKUP("гвс",АО,3,FALSE)&gt;0,"Горячее водоснабжение",0)</f>
        <v>Горячее водоснабжение</v>
      </c>
      <c r="B126" s="167"/>
      <c r="C126" s="167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9">
        <f>VLOOKUP("гвс",АО,5,FALSE)</f>
        <v>82181.05</v>
      </c>
      <c r="H126" s="168"/>
      <c r="I126" s="168"/>
      <c r="J126" s="168"/>
      <c r="L126" s="47"/>
    </row>
    <row r="127" spans="1:15" ht="32.25" customHeight="1" outlineLevel="2">
      <c r="A127" s="163" t="str">
        <f t="shared" ref="A127:A133" si="10">IF(VLOOKUP("гвс",АО,3,FALSE)&gt;0,VLOOKUP(O127,АО,2,FALSE),0)</f>
        <v>Общий объем потребления, нат. показ.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6225.84</v>
      </c>
      <c r="L127" s="47"/>
      <c r="O127" s="1" t="s">
        <v>145</v>
      </c>
    </row>
    <row r="128" spans="1:15" ht="32.25" customHeight="1" outlineLevel="2">
      <c r="A128" s="163" t="str">
        <f t="shared" si="10"/>
        <v>Оплачено потребителями, руб.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81451.62</v>
      </c>
      <c r="L128" s="47"/>
      <c r="O128" s="1" t="s">
        <v>146</v>
      </c>
    </row>
    <row r="129" spans="1:15" ht="32.25" customHeight="1" outlineLevel="2">
      <c r="A129" s="163" t="str">
        <f t="shared" si="10"/>
        <v>Задолженность потребителей, руб.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729.43000000000757</v>
      </c>
      <c r="L129" s="47"/>
      <c r="O129" s="1" t="s">
        <v>147</v>
      </c>
    </row>
    <row r="130" spans="1:15" ht="32.25" customHeight="1" outlineLevel="2">
      <c r="A130" s="163" t="str">
        <f t="shared" si="10"/>
        <v>Начислено поставщиком (поставщиками) коммунального ресурса, руб.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82181.05</v>
      </c>
      <c r="L130" s="47"/>
      <c r="O130" s="1" t="s">
        <v>148</v>
      </c>
    </row>
    <row r="131" spans="1:15" ht="32.25" customHeight="1" outlineLevel="2">
      <c r="A131" s="163" t="str">
        <f t="shared" si="10"/>
        <v>Оплачено поставщику (поставщикам) коммунального ресурса, руб.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82181.05</v>
      </c>
      <c r="L131" s="47"/>
      <c r="O131" s="1" t="s">
        <v>149</v>
      </c>
    </row>
    <row r="132" spans="1:15" ht="32.25" customHeight="1" outlineLevel="2">
      <c r="A132" s="163" t="str">
        <f t="shared" si="10"/>
        <v>Задолженность перед поставщиком (поставщиками) коммунального ресурса, руб.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63" t="str">
        <f t="shared" si="10"/>
        <v>Размер пени и штрафов, уплаченных поставщику (поставщикам) коммунального ресурса, руб.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169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63" t="s">
        <v>172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0</v>
      </c>
      <c r="O146" t="s">
        <v>171</v>
      </c>
    </row>
    <row r="149" spans="1:15" ht="52.5" customHeight="1">
      <c r="A149" s="188" t="s">
        <v>181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0" t="s">
        <v>184</v>
      </c>
      <c r="B154" s="190"/>
      <c r="C154" s="190"/>
      <c r="D154" s="190"/>
      <c r="E154" s="27">
        <f>ПТО!G1</f>
        <v>80788.070000000007</v>
      </c>
    </row>
    <row r="155" spans="1:15" ht="34.5" customHeight="1">
      <c r="A155" s="189" t="s">
        <v>187</v>
      </c>
      <c r="B155" s="189"/>
      <c r="C155" s="189"/>
      <c r="D155" s="189"/>
      <c r="E155" s="28">
        <f>J13</f>
        <v>146558.76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Замена фланцевой вибромуфты на трубопроводе ГВС.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3591.95</v>
      </c>
      <c r="G158" s="170"/>
      <c r="H158" s="24" t="str">
        <f t="shared" ref="H158:H187" si="16">VLOOKUP(A158,$A$28:$J$72,8,FALSE)</f>
        <v>разово</v>
      </c>
      <c r="I158" s="166">
        <f t="shared" ref="I158:I161" si="17">VLOOKUP(A158,$A$28:$J$72,9,FALSE)</f>
        <v>1</v>
      </c>
      <c r="J158" s="166"/>
      <c r="M158" s="22" t="s">
        <v>72</v>
      </c>
      <c r="N158" s="1" t="str">
        <f t="array" ref="N158:N187">INDEX($O$43:$O$72,SMALL(IF($M$158=R43:R72,ROW(O43:O72)-42,""),ROW()-157))</f>
        <v>Замена фланцевой вибромуфты на трубопроводе ГВС.</v>
      </c>
    </row>
    <row r="159" spans="1:15" ht="28.5" customHeight="1">
      <c r="A159" s="165" t="str">
        <f t="shared" si="14"/>
        <v>Ремонт платы привода дверей кабины лифта.</v>
      </c>
      <c r="B159" s="165"/>
      <c r="C159" s="165"/>
      <c r="D159" s="165"/>
      <c r="E159" s="165"/>
      <c r="F159" s="170">
        <f t="shared" si="15"/>
        <v>15353</v>
      </c>
      <c r="G159" s="170"/>
      <c r="H159" s="24" t="str">
        <f t="shared" si="16"/>
        <v>разово</v>
      </c>
      <c r="I159" s="166">
        <f t="shared" si="17"/>
        <v>1</v>
      </c>
      <c r="J159" s="166"/>
      <c r="M159" s="22" t="s">
        <v>72</v>
      </c>
      <c r="N159" s="1" t="str">
        <v>Ремонт платы привода дверей кабины лифта.</v>
      </c>
    </row>
    <row r="160" spans="1:15" ht="28.5" customHeight="1">
      <c r="A160" s="165" t="str">
        <f t="shared" si="14"/>
        <v>Замена табло индикации лифта.</v>
      </c>
      <c r="B160" s="165"/>
      <c r="C160" s="165"/>
      <c r="D160" s="165"/>
      <c r="E160" s="165"/>
      <c r="F160" s="170">
        <f t="shared" si="15"/>
        <v>9375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Замена табло индикации лифта.</v>
      </c>
    </row>
    <row r="161" spans="1:14" ht="28.5" customHeight="1">
      <c r="A161" s="165" t="str">
        <f>IF(N161&gt;0,N161,0)</f>
        <v>Приобретение и монтаж реверсионного электропривода (BLE230B) на 3, 6, 11 этажах системы пожарной безопасности.</v>
      </c>
      <c r="B161" s="165"/>
      <c r="C161" s="165"/>
      <c r="D161" s="165"/>
      <c r="E161" s="165"/>
      <c r="F161" s="170">
        <f t="shared" si="15"/>
        <v>15900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Приобретение и монтаж реверсионного электропривода (BLE230B) на 3, 6, 11 этажах системы пожарной безопасности.</v>
      </c>
    </row>
    <row r="162" spans="1:14" ht="28.5" hidden="1" customHeight="1">
      <c r="A162" s="165">
        <f t="shared" si="14"/>
        <v>0</v>
      </c>
      <c r="B162" s="165"/>
      <c r="C162" s="165"/>
      <c r="D162" s="165"/>
      <c r="E162" s="165"/>
      <c r="F162" s="170">
        <f t="shared" si="15"/>
        <v>0</v>
      </c>
      <c r="G162" s="170"/>
      <c r="H162" s="24" t="e">
        <f t="shared" si="16"/>
        <v>#N/A</v>
      </c>
      <c r="I162" s="166" t="e">
        <f>VLOOKUP(A162,$A$28:$J$72,9,FALSE)</f>
        <v>#N/A</v>
      </c>
      <c r="J162" s="166"/>
      <c r="M162" s="22" t="s">
        <v>72</v>
      </c>
      <c r="N162" s="1">
        <v>0</v>
      </c>
    </row>
    <row r="163" spans="1:14" ht="28.5" hidden="1" customHeight="1">
      <c r="A163" s="165">
        <f t="shared" si="14"/>
        <v>0</v>
      </c>
      <c r="B163" s="165"/>
      <c r="C163" s="165"/>
      <c r="D163" s="165"/>
      <c r="E163" s="165"/>
      <c r="F163" s="170">
        <f t="shared" si="15"/>
        <v>0</v>
      </c>
      <c r="G163" s="170"/>
      <c r="H163" s="24" t="e">
        <f t="shared" si="16"/>
        <v>#N/A</v>
      </c>
      <c r="I163" s="166" t="e">
        <f>VLOOKUP(A163,$A$28:$J$72,9,FALSE)</f>
        <v>#N/A</v>
      </c>
      <c r="J163" s="166"/>
      <c r="M163" s="22" t="s">
        <v>72</v>
      </c>
      <c r="N163" s="1">
        <v>0</v>
      </c>
    </row>
    <row r="164" spans="1:14" ht="28.5" hidden="1" customHeight="1">
      <c r="A164" s="165">
        <f t="shared" ref="A164:A187" si="18">IF(N164&gt;0,N164,0)</f>
        <v>0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0</v>
      </c>
      <c r="G164" s="170"/>
      <c r="H164" s="29" t="e">
        <f t="shared" si="16"/>
        <v>#N/A</v>
      </c>
      <c r="I164" s="166" t="e">
        <f t="shared" ref="I164:I187" si="20">VLOOKUP(A164,$A$28:$J$72,9,FALSE)</f>
        <v>#N/A</v>
      </c>
      <c r="J164" s="166"/>
      <c r="M164" s="22" t="s">
        <v>72</v>
      </c>
      <c r="N164" s="1">
        <v>0</v>
      </c>
    </row>
    <row r="165" spans="1:14" ht="28.5" hidden="1" customHeight="1">
      <c r="A165" s="165">
        <f t="shared" si="18"/>
        <v>0</v>
      </c>
      <c r="B165" s="165"/>
      <c r="C165" s="165"/>
      <c r="D165" s="165"/>
      <c r="E165" s="165"/>
      <c r="F165" s="170">
        <f t="shared" si="19"/>
        <v>0</v>
      </c>
      <c r="G165" s="170"/>
      <c r="H165" s="29" t="e">
        <f t="shared" si="16"/>
        <v>#N/A</v>
      </c>
      <c r="I165" s="166" t="e">
        <f t="shared" si="20"/>
        <v>#N/A</v>
      </c>
      <c r="J165" s="166"/>
      <c r="M165" s="22" t="s">
        <v>72</v>
      </c>
      <c r="N165" s="1">
        <v>0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70">
        <f t="shared" si="19"/>
        <v>0</v>
      </c>
      <c r="G166" s="170"/>
      <c r="H166" s="29" t="e">
        <f t="shared" si="16"/>
        <v>#N/A</v>
      </c>
      <c r="I166" s="166" t="e">
        <f t="shared" si="20"/>
        <v>#N/A</v>
      </c>
      <c r="J166" s="166"/>
      <c r="M166" s="22" t="s">
        <v>72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70">
        <f t="shared" si="19"/>
        <v>0</v>
      </c>
      <c r="G167" s="170"/>
      <c r="H167" s="29" t="e">
        <f t="shared" si="16"/>
        <v>#N/A</v>
      </c>
      <c r="I167" s="166" t="e">
        <f t="shared" si="20"/>
        <v>#N/A</v>
      </c>
      <c r="J167" s="166"/>
      <c r="M167" s="22" t="s">
        <v>72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70">
        <f t="shared" si="19"/>
        <v>0</v>
      </c>
      <c r="G168" s="170"/>
      <c r="H168" s="29" t="e">
        <f t="shared" si="16"/>
        <v>#N/A</v>
      </c>
      <c r="I168" s="166" t="e">
        <f t="shared" si="20"/>
        <v>#N/A</v>
      </c>
      <c r="J168" s="166"/>
      <c r="M168" s="22" t="s">
        <v>72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90" t="s">
        <v>186</v>
      </c>
      <c r="B190" s="190"/>
      <c r="C190" s="190"/>
      <c r="D190" s="190"/>
      <c r="E190" s="27">
        <f>SUM(F158:G187)</f>
        <v>44219.95</v>
      </c>
    </row>
    <row r="191" spans="1:14" ht="51.75" customHeight="1">
      <c r="A191" s="190" t="s">
        <v>196</v>
      </c>
      <c r="B191" s="190"/>
      <c r="C191" s="190"/>
      <c r="D191" s="190"/>
      <c r="E191" s="27">
        <f>E190+E154-E155</f>
        <v>-21550.740000000005</v>
      </c>
    </row>
    <row r="192" spans="1:14">
      <c r="A192" s="104" t="s">
        <v>173</v>
      </c>
    </row>
    <row r="193" spans="1:10" ht="62.25" customHeight="1">
      <c r="A193" s="164" t="s">
        <v>185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74</v>
      </c>
    </row>
    <row r="195" spans="1:10" ht="18.75" customHeight="1">
      <c r="A195" s="162" t="str">
        <f>ПТО!F13</f>
        <v xml:space="preserve">  -  покраска металлического ограждения</v>
      </c>
      <c r="B195" s="162"/>
      <c r="C195" s="162"/>
      <c r="D195" s="162"/>
      <c r="E195" s="162"/>
      <c r="F195" s="162"/>
      <c r="G195" s="162"/>
      <c r="H195" s="49">
        <f>ПТО!G13</f>
        <v>3000</v>
      </c>
      <c r="I195" s="50" t="s">
        <v>74</v>
      </c>
    </row>
    <row r="196" spans="1:10" ht="18.75" customHeight="1">
      <c r="A196" s="162" t="str">
        <f>ПТО!F14</f>
        <v xml:space="preserve">  -  покраска (обновление) бордюров и разлиновка парковочных мест</v>
      </c>
      <c r="B196" s="162"/>
      <c r="C196" s="162"/>
      <c r="D196" s="162"/>
      <c r="E196" s="162"/>
      <c r="F196" s="162"/>
      <c r="G196" s="162"/>
      <c r="H196" s="49">
        <f>ПТО!G14</f>
        <v>3000</v>
      </c>
      <c r="I196" s="50" t="s">
        <v>74</v>
      </c>
    </row>
    <row r="197" spans="1:10" ht="18.75" customHeight="1">
      <c r="A197" s="162" t="str">
        <f>ПТО!F15</f>
        <v xml:space="preserve">  -  промазка битумным технониколем швов рулонного технониколя, фановых труб, вентиляционных шахт, парапетов и т. п.</v>
      </c>
      <c r="B197" s="162"/>
      <c r="C197" s="162"/>
      <c r="D197" s="162"/>
      <c r="E197" s="162"/>
      <c r="F197" s="162"/>
      <c r="G197" s="162"/>
      <c r="H197" s="49">
        <f>ПТО!G15</f>
        <v>10000</v>
      </c>
      <c r="I197" s="50" t="s">
        <v>74</v>
      </c>
    </row>
    <row r="198" spans="1:10" ht="18.75" customHeight="1">
      <c r="A198" s="162" t="str">
        <f>ПТО!F16</f>
        <v xml:space="preserve">  - изготовление и монтаж резинопола на крыльцо</v>
      </c>
      <c r="B198" s="162"/>
      <c r="C198" s="162"/>
      <c r="D198" s="162"/>
      <c r="E198" s="162"/>
      <c r="F198" s="162"/>
      <c r="G198" s="162"/>
      <c r="H198" s="49">
        <f>ПТО!G16</f>
        <v>100000</v>
      </c>
      <c r="I198" s="52" t="s">
        <v>74</v>
      </c>
    </row>
    <row r="199" spans="1:10" ht="18.75" customHeight="1">
      <c r="A199" s="162" t="str">
        <f>ПТО!F17</f>
        <v xml:space="preserve">  -  изготовление и монтаж ограждения по периметру газона (со стороны Байкальского тракта)</v>
      </c>
      <c r="B199" s="162"/>
      <c r="C199" s="162"/>
      <c r="D199" s="162"/>
      <c r="E199" s="162"/>
      <c r="F199" s="162"/>
      <c r="G199" s="162"/>
      <c r="H199" s="49">
        <f>ПТО!G17</f>
        <v>20000</v>
      </c>
      <c r="I199" s="50" t="s">
        <v>74</v>
      </c>
    </row>
    <row r="200" spans="1:10">
      <c r="A200" s="162" t="str">
        <f>ПТО!F18</f>
        <v xml:space="preserve">  -  устройство и покраска бетонного пола в машинном отделении лифта.</v>
      </c>
      <c r="B200" s="162"/>
      <c r="C200" s="162"/>
      <c r="D200" s="162"/>
      <c r="E200" s="162"/>
      <c r="F200" s="162"/>
      <c r="G200" s="162"/>
      <c r="H200" s="49">
        <f>ПТО!G18</f>
        <v>1000</v>
      </c>
      <c r="I200" s="50" t="s">
        <v>74</v>
      </c>
    </row>
    <row r="201" spans="1:10">
      <c r="A201" s="162" t="str">
        <f>ПТО!F19</f>
        <v xml:space="preserve"> -  изготовление, монтаж металлических панелей для закрытия сесьмопоясов МКД</v>
      </c>
      <c r="B201" s="162"/>
      <c r="C201" s="162"/>
      <c r="D201" s="162"/>
      <c r="E201" s="162"/>
      <c r="F201" s="162"/>
      <c r="G201" s="162"/>
      <c r="H201" s="49">
        <f>ПТО!G19</f>
        <v>200000</v>
      </c>
      <c r="I201" s="50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9">
        <f>ПТО!G20</f>
        <v>0</v>
      </c>
      <c r="I202" s="50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338200</v>
      </c>
      <c r="I214" s="56" t="s">
        <v>76</v>
      </c>
    </row>
  </sheetData>
  <sheetProtection algorithmName="SHA-512" hashValue="renp58BOwPGp9Us7mYmmgOjldjSxKVsTFtpoVjobHw9RYY7s6VCIlBlQJ3PnBnBxHO+i5T0rJRrbiMyA2fJ96Q==" saltValue="dCBgI/jg+yGlGK1S6hSho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5"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80788.07</f>
        <v>80788.070000000007</v>
      </c>
    </row>
    <row r="2" spans="1:12" ht="18.75" customHeight="1">
      <c r="A2" s="144" t="s">
        <v>188</v>
      </c>
      <c r="B2" s="145" t="s">
        <v>189</v>
      </c>
      <c r="C2" s="132">
        <v>1</v>
      </c>
      <c r="D2" s="133">
        <v>3591.95</v>
      </c>
      <c r="E2" s="146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191</v>
      </c>
      <c r="B3" s="148" t="s">
        <v>189</v>
      </c>
      <c r="C3" s="119">
        <v>1</v>
      </c>
      <c r="D3" s="120">
        <v>15353</v>
      </c>
      <c r="E3" s="131" t="s">
        <v>194</v>
      </c>
      <c r="F3" s="30"/>
      <c r="G3" s="30"/>
      <c r="L3" s="33" t="str">
        <f t="shared" si="0"/>
        <v>ТР</v>
      </c>
    </row>
    <row r="4" spans="1:12" ht="18.75" customHeight="1">
      <c r="A4" s="149" t="s">
        <v>192</v>
      </c>
      <c r="B4" s="150" t="s">
        <v>189</v>
      </c>
      <c r="C4" s="151">
        <v>1</v>
      </c>
      <c r="D4" s="152">
        <v>9375</v>
      </c>
      <c r="E4" s="124" t="s">
        <v>195</v>
      </c>
      <c r="F4" s="30"/>
      <c r="G4" s="30"/>
      <c r="L4" s="33" t="str">
        <f t="shared" si="0"/>
        <v>ТР</v>
      </c>
    </row>
    <row r="5" spans="1:12" ht="18.75" customHeight="1">
      <c r="A5" s="153" t="s">
        <v>193</v>
      </c>
      <c r="B5" s="154" t="s">
        <v>189</v>
      </c>
      <c r="C5" s="155">
        <v>1</v>
      </c>
      <c r="D5" s="156">
        <v>15900</v>
      </c>
      <c r="E5" s="157" t="s">
        <v>197</v>
      </c>
      <c r="F5" s="44"/>
      <c r="G5" s="44"/>
      <c r="K5" s="46"/>
      <c r="L5" s="33" t="str">
        <f t="shared" si="0"/>
        <v>ТР</v>
      </c>
    </row>
    <row r="6" spans="1:12" ht="32.25" customHeight="1">
      <c r="A6" s="134"/>
      <c r="B6" s="135"/>
      <c r="C6" s="118"/>
      <c r="D6" s="120"/>
      <c r="E6" s="120"/>
      <c r="F6" s="44"/>
      <c r="G6" s="44"/>
      <c r="K6" s="46"/>
      <c r="L6" s="33">
        <f t="shared" si="0"/>
        <v>0</v>
      </c>
    </row>
    <row r="7" spans="1:12" ht="18.75" customHeight="1">
      <c r="A7" s="134"/>
      <c r="B7" s="136"/>
      <c r="C7" s="118"/>
      <c r="D7" s="120"/>
      <c r="E7" s="120"/>
      <c r="F7" s="45"/>
      <c r="G7" s="45"/>
      <c r="K7" s="46"/>
      <c r="L7" s="33">
        <f t="shared" si="0"/>
        <v>0</v>
      </c>
    </row>
    <row r="8" spans="1:12" ht="18.75" customHeight="1">
      <c r="A8" s="134"/>
      <c r="B8" s="136"/>
      <c r="C8" s="118"/>
      <c r="D8" s="120"/>
      <c r="E8" s="120"/>
      <c r="F8" s="45"/>
      <c r="G8" s="45"/>
      <c r="K8" s="43"/>
      <c r="L8" s="33">
        <f t="shared" si="0"/>
        <v>0</v>
      </c>
    </row>
    <row r="9" spans="1:12">
      <c r="A9" s="137"/>
      <c r="B9" s="138"/>
      <c r="C9" s="118"/>
      <c r="D9" s="120"/>
      <c r="E9" s="124"/>
      <c r="F9" s="44"/>
      <c r="G9" s="44"/>
      <c r="K9" s="43"/>
      <c r="L9" s="33">
        <f t="shared" si="0"/>
        <v>0</v>
      </c>
    </row>
    <row r="10" spans="1:12">
      <c r="A10" s="142"/>
      <c r="B10" s="143"/>
      <c r="C10" s="119"/>
      <c r="D10" s="120"/>
      <c r="E10" s="125"/>
      <c r="L10" s="33">
        <f t="shared" si="0"/>
        <v>0</v>
      </c>
    </row>
    <row r="11" spans="1:12" ht="94.5">
      <c r="A11" s="139"/>
      <c r="B11" s="140"/>
      <c r="C11" s="118"/>
      <c r="D11" s="141"/>
      <c r="E11" s="120"/>
      <c r="F11" s="111" t="s">
        <v>185</v>
      </c>
      <c r="G11" s="111"/>
      <c r="L11" s="33">
        <f t="shared" si="0"/>
        <v>0</v>
      </c>
    </row>
    <row r="12" spans="1:12" ht="31.5">
      <c r="A12" s="117"/>
      <c r="B12" s="118"/>
      <c r="C12" s="119"/>
      <c r="D12" s="120"/>
      <c r="E12" s="125"/>
      <c r="F12" s="112" t="s">
        <v>73</v>
      </c>
      <c r="G12" s="113">
        <v>1200</v>
      </c>
      <c r="L12" s="33">
        <f t="shared" si="0"/>
        <v>0</v>
      </c>
    </row>
    <row r="13" spans="1:12" ht="31.5">
      <c r="A13" s="129"/>
      <c r="B13" s="118"/>
      <c r="C13" s="119"/>
      <c r="D13" s="120"/>
      <c r="E13" s="125"/>
      <c r="F13" s="112" t="s">
        <v>178</v>
      </c>
      <c r="G13" s="113">
        <v>3000</v>
      </c>
      <c r="L13" s="33">
        <f t="shared" si="0"/>
        <v>0</v>
      </c>
    </row>
    <row r="14" spans="1:12" ht="31.5">
      <c r="A14" s="123"/>
      <c r="B14" s="127"/>
      <c r="C14" s="119"/>
      <c r="D14" s="120"/>
      <c r="E14" s="124"/>
      <c r="F14" s="112" t="s">
        <v>179</v>
      </c>
      <c r="G14" s="113">
        <v>3000</v>
      </c>
      <c r="L14" s="33">
        <f t="shared" si="0"/>
        <v>0</v>
      </c>
    </row>
    <row r="15" spans="1:12" ht="63">
      <c r="A15" s="123"/>
      <c r="B15" s="127"/>
      <c r="C15" s="119"/>
      <c r="D15" s="120"/>
      <c r="E15" s="126"/>
      <c r="F15" s="112" t="s">
        <v>180</v>
      </c>
      <c r="G15" s="113">
        <v>10000</v>
      </c>
      <c r="L15" s="33">
        <f t="shared" si="0"/>
        <v>0</v>
      </c>
    </row>
    <row r="16" spans="1:12" ht="31.5">
      <c r="A16" s="129"/>
      <c r="B16" s="130"/>
      <c r="C16" s="119"/>
      <c r="D16" s="120"/>
      <c r="E16" s="131"/>
      <c r="F16" s="112" t="s">
        <v>209</v>
      </c>
      <c r="G16" s="113">
        <v>100000</v>
      </c>
      <c r="L16" s="33">
        <f t="shared" si="0"/>
        <v>0</v>
      </c>
    </row>
    <row r="17" spans="1:12" ht="47.25">
      <c r="A17" s="129"/>
      <c r="B17" s="118"/>
      <c r="C17" s="119"/>
      <c r="D17" s="120"/>
      <c r="E17" s="125"/>
      <c r="F17" s="112" t="s">
        <v>210</v>
      </c>
      <c r="G17" s="113">
        <v>20000</v>
      </c>
      <c r="L17" s="33">
        <f t="shared" si="0"/>
        <v>0</v>
      </c>
    </row>
    <row r="18" spans="1:12" ht="31.5">
      <c r="A18" s="30"/>
      <c r="F18" s="112" t="s">
        <v>211</v>
      </c>
      <c r="G18" s="113">
        <v>1000</v>
      </c>
      <c r="L18" s="33">
        <f t="shared" si="0"/>
        <v>0</v>
      </c>
    </row>
    <row r="19" spans="1:12" ht="47.25">
      <c r="A19" s="30"/>
      <c r="F19" s="112" t="s">
        <v>212</v>
      </c>
      <c r="G19" s="113">
        <v>200000</v>
      </c>
      <c r="L19" s="33">
        <f t="shared" si="0"/>
        <v>0</v>
      </c>
    </row>
    <row r="20" spans="1:12" ht="15.75">
      <c r="A20" s="30"/>
      <c r="F20" s="103"/>
      <c r="G20" s="128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60">
        <v>238954.56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238954.56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60">
        <v>184791.48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184791.48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60">
        <v>115335.36000000002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115335.36000000002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60">
        <v>76465.440000000002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76465.440000000002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60">
        <v>63721.200000000004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63721.200000000004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60">
        <v>121707.48000000001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121707.48000000001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206</v>
      </c>
      <c r="B46" s="160">
        <v>64358.411999999997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обеспечению пожарной безопасности и охрана ТП</v>
      </c>
      <c r="N46" s="41">
        <f t="shared" si="4"/>
        <v>64358.411999999997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198</v>
      </c>
      <c r="B47" s="158">
        <f>(E47*G53*F55*6+E47*G53*G55*6)+(F47*G59*F61*6+F47*G59*G61*6)+(F47*G63*F65*6+F47*G63*G65*6)</f>
        <v>93585.943350000001</v>
      </c>
      <c r="C47" s="159" t="s">
        <v>68</v>
      </c>
      <c r="D47" s="48">
        <v>12</v>
      </c>
      <c r="E47" s="158">
        <v>1237.5</v>
      </c>
      <c r="F47" s="158">
        <v>962.9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93585.943350000001</v>
      </c>
      <c r="O47" s="41" t="str">
        <f t="shared" si="5"/>
        <v>Ежемесячно</v>
      </c>
      <c r="P47">
        <f t="shared" si="6"/>
        <v>12</v>
      </c>
    </row>
    <row r="48" spans="1:16" ht="38.25">
      <c r="A48" s="37" t="s">
        <v>207</v>
      </c>
      <c r="B48" s="160">
        <v>26762.879999999997</v>
      </c>
      <c r="C48" s="159" t="s">
        <v>208</v>
      </c>
      <c r="D48" s="48">
        <v>12</v>
      </c>
      <c r="L48" s="40" t="str">
        <f t="shared" si="2"/>
        <v>СОД</v>
      </c>
      <c r="M48" t="str">
        <f t="shared" si="3"/>
        <v>Вывоз снега с придомовой территории</v>
      </c>
      <c r="N48" s="41">
        <f t="shared" si="4"/>
        <v>26762.879999999997</v>
      </c>
      <c r="O48" s="41" t="str">
        <f t="shared" si="5"/>
        <v>По мере необходимости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1" t="s">
        <v>199</v>
      </c>
      <c r="F52" s="161" t="s">
        <v>200</v>
      </c>
      <c r="G52" s="161" t="s">
        <v>201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1">
        <v>35.896999999999998</v>
      </c>
      <c r="F53" s="158">
        <v>5310.1</v>
      </c>
      <c r="G53" s="161">
        <v>3.83</v>
      </c>
      <c r="H53" s="161">
        <f>G53*E47/F53</f>
        <v>0.89256793657369915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1"/>
      <c r="F54" s="161" t="s">
        <v>202</v>
      </c>
      <c r="G54" s="161" t="s">
        <v>203</v>
      </c>
      <c r="H54" s="161">
        <f>H53*G56</f>
        <v>56.142523210485678</v>
      </c>
    </row>
    <row r="55" spans="5:16">
      <c r="E55" s="161"/>
      <c r="F55" s="161">
        <v>1.17</v>
      </c>
      <c r="G55" s="161">
        <v>1.23</v>
      </c>
      <c r="H55" s="161"/>
    </row>
    <row r="56" spans="5:16">
      <c r="E56" s="161"/>
      <c r="F56" s="161"/>
      <c r="G56" s="161">
        <v>62.9</v>
      </c>
      <c r="H56" s="161"/>
    </row>
    <row r="57" spans="5:16">
      <c r="E57" s="161"/>
      <c r="F57" s="161"/>
      <c r="G57" s="161"/>
      <c r="H57" s="161"/>
    </row>
    <row r="58" spans="5:16">
      <c r="E58" s="161" t="s">
        <v>204</v>
      </c>
      <c r="F58" s="161"/>
      <c r="G58" s="161"/>
      <c r="H58" s="161"/>
    </row>
    <row r="59" spans="5:16">
      <c r="E59" s="161">
        <v>0.59599999999999997</v>
      </c>
      <c r="F59" s="158">
        <f>F53</f>
        <v>5310.1</v>
      </c>
      <c r="G59" s="161">
        <v>7.4999999999999997E-2</v>
      </c>
      <c r="H59" s="161">
        <f>G59*F47</f>
        <v>72.217500000000001</v>
      </c>
    </row>
    <row r="60" spans="5:16">
      <c r="E60" s="161"/>
      <c r="F60" s="161" t="s">
        <v>202</v>
      </c>
      <c r="G60" s="161" t="s">
        <v>203</v>
      </c>
      <c r="H60" s="161">
        <f>H59/F59</f>
        <v>1.3600026364851886E-2</v>
      </c>
    </row>
    <row r="61" spans="5:16">
      <c r="E61" s="161"/>
      <c r="F61" s="161">
        <v>12.94</v>
      </c>
      <c r="G61" s="161">
        <v>13.45</v>
      </c>
      <c r="H61" s="161">
        <f>H60*G56</f>
        <v>0.85544165834918362</v>
      </c>
    </row>
    <row r="62" spans="5:16">
      <c r="E62" s="161" t="s">
        <v>205</v>
      </c>
      <c r="F62" s="161"/>
      <c r="G62" s="161"/>
      <c r="H62" s="161"/>
    </row>
    <row r="63" spans="5:16">
      <c r="E63" s="161">
        <v>0.59599999999999997</v>
      </c>
      <c r="F63" s="158">
        <f>F53</f>
        <v>5310.1</v>
      </c>
      <c r="G63" s="161">
        <v>7.4999999999999997E-2</v>
      </c>
      <c r="H63" s="161">
        <f>G63*F47</f>
        <v>72.217500000000001</v>
      </c>
    </row>
    <row r="64" spans="5:16">
      <c r="E64" s="161"/>
      <c r="F64" s="161" t="s">
        <v>202</v>
      </c>
      <c r="G64" s="161" t="s">
        <v>203</v>
      </c>
      <c r="H64" s="161">
        <f>H63/F63</f>
        <v>1.3600026364851886E-2</v>
      </c>
    </row>
    <row r="65" spans="4:13" ht="18.75" customHeight="1">
      <c r="E65" s="161"/>
      <c r="F65" s="161">
        <v>15.73</v>
      </c>
      <c r="G65" s="161">
        <v>16.350000000000001</v>
      </c>
      <c r="H65" s="161">
        <f>H64*G56</f>
        <v>0.85544165834918362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5" sqref="E5:F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5310.1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1">
        <v>2.2400000000000002</v>
      </c>
      <c r="F2" s="122" t="s">
        <v>177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21">
        <v>2.2999999999999998</v>
      </c>
      <c r="F3" s="122" t="s">
        <v>182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1157061.6100000001</v>
      </c>
      <c r="D4" s="81" t="s">
        <v>60</v>
      </c>
      <c r="E4" s="61"/>
      <c r="F4" s="61" t="s">
        <v>183</v>
      </c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1174571.31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880090.99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F1*2.3*12</f>
        <v>146558.76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147921.56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1282806.43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1282806.43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1282806.43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1048826.49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104</v>
      </c>
      <c r="B27" s="75" t="s">
        <v>4</v>
      </c>
      <c r="C27" s="86">
        <v>88667.19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107</v>
      </c>
      <c r="B30" s="75" t="s">
        <v>18</v>
      </c>
      <c r="C30" s="86">
        <v>74950.87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97338.15</v>
      </c>
      <c r="F37" s="94" t="s">
        <v>166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81115.13</v>
      </c>
      <c r="D38" s="94" t="s">
        <v>164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110275.14</v>
      </c>
      <c r="D39" s="94" t="s">
        <v>165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97338.15</v>
      </c>
      <c r="D41" s="80" t="s">
        <v>59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97338.15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141342.75</v>
      </c>
      <c r="F45" s="94" t="s">
        <v>166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10707.78</v>
      </c>
      <c r="D46" s="94" t="s">
        <v>167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142623.24</v>
      </c>
      <c r="D47" s="94" t="s">
        <v>165</v>
      </c>
      <c r="E47" s="68"/>
      <c r="G47" s="67"/>
      <c r="H47" s="67"/>
      <c r="L47" s="63"/>
      <c r="M47" s="19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141342.75</v>
      </c>
      <c r="D49" s="80" t="s">
        <v>59</v>
      </c>
      <c r="E49" s="68"/>
      <c r="G49" s="67"/>
      <c r="H49" s="67"/>
      <c r="L49" s="63"/>
      <c r="M49" s="19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141342.75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275248.87</v>
      </c>
      <c r="F53" s="94" t="s">
        <v>166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17160.150000000001</v>
      </c>
      <c r="D54" s="94" t="s">
        <v>167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275477.14</v>
      </c>
      <c r="D55" s="94" t="s">
        <v>165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275248.87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275248.87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82181.05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6225.84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81451.62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729.43000000000757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82181.05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82181.05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2022-03-28T07:33:09Z</dcterms:modified>
</cp:coreProperties>
</file>