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3" i="2" l="1"/>
  <c r="C7" i="3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A121" i="1"/>
  <c r="G118" i="1"/>
  <c r="F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G94" i="1"/>
  <c r="D94" i="1"/>
  <c r="K94" i="1"/>
  <c r="F94" i="1" l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5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9" i="3"/>
  <c r="J116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C5" i="3"/>
  <c r="J11" i="1" s="1"/>
  <c r="C51" i="3" l="1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<sst xmlns="http://schemas.openxmlformats.org/spreadsheetml/2006/main" count="567" uniqueCount="213">
  <si>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</si>
  <si>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</si>
  <si>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</si>
  <si>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</si>
  <si>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</si>
  <si>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</si>
  <si>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</si>
  <si>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</si>
  <si>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</si>
  <si>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</si>
  <si>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</si>
  <si>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</si>
  <si>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</si>
  <si>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</si>
  <si>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</si>
  <si>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</si>
  <si>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</si>
  <si>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</si>
  <si>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</si>
  <si>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</si>
  <si>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</si>
  <si>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</si>
  <si>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</si>
  <si>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</si>
  <si>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</si>
  <si>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</si>
  <si>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</si>
  <si>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</si>
  <si>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</si>
  <si>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</si>
  <si>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</si>
  <si>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</si>
  <si>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</si>
  <si>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</si>
  <si>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</si>
  <si>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</si>
  <si>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</si>
  <si>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</si>
  <si>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</si>
  <si>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</si>
  <si>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</si>
  <si>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</si>
  <si>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</si>
  <si>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</si>
  <si>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</si>
  <si>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</si>
  <si>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</si>
  <si>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</si>
  <si>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</si>
  <si>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</si>
  <si>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</si>
  <si>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</si>
  <si>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</si>
  <si>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</si>
  <si>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</si>
  <si>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</si>
  <si>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</si>
  <si>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</si>
  <si>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</si>
  <si>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</si>
  <si>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</si>
  <si>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</si>
  <si>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</si>
  <si>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</si>
  <si>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</si>
  <si>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</si>
  <si>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</si>
  <si>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</si>
  <si>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</si>
  <si>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</si>
  <si>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</si>
  <si>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</si>
  <si>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</si>
  <si>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</si>
  <si>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</si>
  <si>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</si>
  <si>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</si>
  <si>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</si>
  <si>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</si>
  <si>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</si>
  <si>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</si>
  <si>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</si>
  <si>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</si>
  <si>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</si>
  <si>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</si>
  <si>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</si>
  <si>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</si>
  <si>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</si>
  <si>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</si>
  <si>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</si>
  <si>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</si>
  <si>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</si>
  <si>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</si>
  <si>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</si>
  <si>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</si>
  <si>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</si>
  <si>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</si>
  <si>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</si>
  <si>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</si>
  <si>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</si>
  <si>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</si>
  <si>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</si>
  <si>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</si>
  <si>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</si>
  <si>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</si>
  <si>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</si>
  <si>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</si>
  <si>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</si>
  <si>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</si>
  <si>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</si>
  <si>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</si>
  <si>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</si>
  <si>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</si>
  <si>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</si>
  <si>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</si>
  <si>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</si>
  <si>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</si>
  <si>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</si>
  <si>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</si>
  <si>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</si>
  <si>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</si>
  <si>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</si>
  <si>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</si>
  <si>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</si>
  <si>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</si>
  <si>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</si>
  <si>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</si>
  <si>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</si>
  <si>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</si>
  <si>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</si>
  <si>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</si>
  <si>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</si>
  <si>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</si>
  <si>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</si>
  <si>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</si>
  <si>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</si>
  <si>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</si>
  <si>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</si>
  <si>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</si>
  <si>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</si>
  <si>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</si>
  <si>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</si>
  <si>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</si>
  <si>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</si>
  <si>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</si>
  <si>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</si>
  <si>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</si>
  <si>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</si>
  <si>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</si>
  <si>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</si>
  <si>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</si>
  <si>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</si>
  <si>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</si>
  <si>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</si>
  <si>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</si>
  <si>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</si>
  <si>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</si>
  <si>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</si>
  <si>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</si>
  <si>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</si>
  <si>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</si>
  <si>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</si>
  <si>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</si>
  <si>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</si>
  <si>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</si>
  <si>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</si>
  <si>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</si>
  <si>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</si>
  <si>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</si>
  <si>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</si>
  <si>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</si>
  <si>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</si>
  <si>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</si>
  <si>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</si>
  <si>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</si>
  <si>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</si>
  <si>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</si>
  <si>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</si>
  <si>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</si>
  <si>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</si>
  <si>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по обеспечению пожарной безопасности</t>
  </si>
  <si>
    <t>Отчет об исполнении договора управления многоквартирного дома 
Байкальская, 289/8</t>
  </si>
  <si>
    <t>Изготовление и монтаж металлической двери выход на кровлю.</t>
  </si>
  <si>
    <t>Изготовление и монтаж металлической межэтажной двери.</t>
  </si>
  <si>
    <t>Установка тамбурной двери.</t>
  </si>
  <si>
    <t>разово</t>
  </si>
  <si>
    <t>5руб.</t>
  </si>
  <si>
    <t>с 01.06.2019</t>
  </si>
  <si>
    <t>площадь дома</t>
  </si>
  <si>
    <t>Аварийное восстановление стояков отопления в подъезде.</t>
  </si>
  <si>
    <t>АВР №1 от 25.09.2019, Решение, счет №3178 от 11.06.2019</t>
  </si>
  <si>
    <t>АВР №3 от 25.09.2019, Решение, счет №140 от 06.06.2019</t>
  </si>
  <si>
    <t>АВР №4 от 25.09.2019, Решение, счет №140 от 06.06.2019</t>
  </si>
  <si>
    <t>АВР №5 от 25.09.2019, Решение, счет №J6-09910 от 30.08.2019</t>
  </si>
  <si>
    <t>АВР №2 от 25.09.2019</t>
  </si>
  <si>
    <t>Ремонт подъезда (1 этаж).</t>
  </si>
  <si>
    <t>АВР №6 от 10.10.2019</t>
  </si>
  <si>
    <t>Воздухоотводчики для стояков отопления в подъезде.</t>
  </si>
  <si>
    <t>Ремонт системы видеонаблюдения.</t>
  </si>
  <si>
    <t>АВР №9 от 10.12.2019</t>
  </si>
  <si>
    <t>АВР №10 от 10.10.2019</t>
  </si>
  <si>
    <t>Техническое обслуживание охранной сигнализации.</t>
  </si>
  <si>
    <t>ежемесячно</t>
  </si>
  <si>
    <t>с августа 2020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</si>
  <si>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</si>
  <si>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289/8 в части текущего ремонта</t>
  </si>
  <si>
    <t xml:space="preserve">  -  непредвиденные затраты на ремонт шлагбаума</t>
  </si>
  <si>
    <t xml:space="preserve">  -  работы по выбору (решению) общего собрания или совета дома</t>
  </si>
  <si>
    <t>Монтаж охранной сигнализации в подвале.</t>
  </si>
  <si>
    <t xml:space="preserve">  -  чистка теплообменников ГВС и отопления</t>
  </si>
  <si>
    <t xml:space="preserve">  -  благоустройство придомовой территории (покраска малых форм, разлиновка парковочных мест)</t>
  </si>
  <si>
    <t>Услуги и работы по управлению МКД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</si>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</sst>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4" fontId="19" fillId="0" borderId="0" xfId="0" applyNumberFormat="1" applyFont="1" applyFill="1" applyBorder="1" applyAlignment="1"/>
    <xf numFmtId="0" fontId="5" fillId="0" borderId="0" xfId="5" applyFill="1" applyBorder="1" applyAlignment="1"/>
    <xf numFmtId="0" fontId="19" fillId="0" borderId="0" xfId="5" applyFont="1" applyFill="1" applyBorder="1" applyAlignment="1">
      <alignment horizontal="center"/>
    </xf>
    <xf numFmtId="4" fontId="19" fillId="0" borderId="0" xfId="5" applyNumberFormat="1" applyFont="1" applyFill="1" applyBorder="1" applyAlignment="1"/>
    <xf numFmtId="0" fontId="5" fillId="0" borderId="0" xfId="5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13" applyFill="1" applyBorder="1" applyAlignment="1"/>
    <xf numFmtId="4" fontId="19" fillId="0" borderId="0" xfId="13" applyNumberFormat="1" applyFont="1" applyFill="1" applyBorder="1" applyAlignment="1"/>
    <xf numFmtId="0" fontId="2" fillId="0" borderId="0" xfId="13" applyFill="1" applyBorder="1" applyAlignment="1">
      <alignment horizontal="center"/>
    </xf>
    <xf numFmtId="0" fontId="2" fillId="0" borderId="0" xfId="13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12" fillId="0" borderId="0" xfId="0" applyFont="1" applyBorder="1" applyAlignment="1">
      <alignment wrapText="1"/>
    </xf>
    <xf numFmtId="4" fontId="11" fillId="0" borderId="0" xfId="0" applyNumberFormat="1" applyFont="1" applyBorder="1"/>
    <xf numFmtId="0" fontId="1" fillId="0" borderId="0" xfId="5" applyFont="1" applyFill="1" applyBorder="1" applyAlignment="1"/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10"/>
    <cellStyle name="Обычный 2 4" xfId="6"/>
    <cellStyle name="Обычный 3" xfId="2"/>
    <cellStyle name="Обычный 3 2" xfId="11"/>
    <cellStyle name="Обычный 3 3" xfId="7"/>
    <cellStyle name="Обычный 4" xfId="4"/>
    <cellStyle name="Обычный 4 2" xfId="12"/>
    <cellStyle name="Обычный 4 3" xfId="8"/>
    <cellStyle name="Обычный 5" xfId="5"/>
    <cellStyle name="Обычный 5 2" xfId="13"/>
    <cellStyle name="Обычный 5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3" sqref="M1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59" t="s">
        <v>181</v>
      </c>
      <c r="B2" s="159"/>
      <c r="C2" s="159"/>
      <c r="D2" s="159"/>
      <c r="E2" s="159"/>
      <c r="F2" s="159"/>
      <c r="G2" s="159"/>
      <c r="H2" s="159"/>
      <c r="I2" s="159"/>
      <c r="J2" s="159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212</v>
      </c>
      <c r="E4" s="116">
        <v>43617</v>
      </c>
      <c r="K4" s="110"/>
      <c r="L4" s="110"/>
      <c r="M4" s="110"/>
      <c r="N4" s="110"/>
    </row>
    <row r="5" spans="1:18">
      <c r="A5" s="1" t="s">
        <v>0</v>
      </c>
      <c r="E5" s="116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56" t="s">
        <v>1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10"/>
      <c r="L8" s="160"/>
      <c r="M8" s="110"/>
      <c r="N8" s="110"/>
      <c r="O8" s="71" t="s">
        <v>86</v>
      </c>
      <c r="R8" s="16"/>
    </row>
    <row r="9" spans="1:18" ht="18.75" customHeight="1" outlineLevel="1">
      <c r="A9" s="156" t="s">
        <v>2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10"/>
      <c r="L9" s="160"/>
      <c r="M9" s="110"/>
      <c r="N9" s="110"/>
      <c r="O9" s="71" t="s">
        <v>87</v>
      </c>
    </row>
    <row r="10" spans="1:18" ht="18.75" customHeight="1" outlineLevel="1">
      <c r="A10" s="156" t="s">
        <v>3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0</v>
      </c>
      <c r="K10" s="110"/>
      <c r="L10" s="160"/>
      <c r="M10" s="110"/>
      <c r="N10" s="110"/>
      <c r="O10" s="71" t="s">
        <v>88</v>
      </c>
    </row>
    <row r="11" spans="1:18" outlineLevel="1">
      <c r="A11" s="156" t="s">
        <v>4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615688.49</v>
      </c>
      <c r="K11" s="110"/>
      <c r="L11" s="160"/>
      <c r="M11" s="110"/>
      <c r="N11" s="110"/>
      <c r="O11" s="71" t="s">
        <v>89</v>
      </c>
    </row>
    <row r="12" spans="1:18" ht="18.75" customHeight="1" outlineLevel="1">
      <c r="A12" s="156" t="s">
        <v>5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336859.18</v>
      </c>
      <c r="K12" s="110"/>
      <c r="L12" s="160"/>
      <c r="M12" s="110"/>
      <c r="N12" s="110"/>
      <c r="O12" s="71" t="s">
        <v>90</v>
      </c>
    </row>
    <row r="13" spans="1:18" ht="18.75" customHeight="1" outlineLevel="1">
      <c r="A13" s="156" t="s">
        <v>6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139195</v>
      </c>
      <c r="K13" s="110"/>
      <c r="L13" s="160"/>
      <c r="M13" s="110"/>
      <c r="N13" s="110"/>
      <c r="O13" s="71" t="s">
        <v>91</v>
      </c>
    </row>
    <row r="14" spans="1:18" ht="18.75" customHeight="1" outlineLevel="1">
      <c r="A14" s="156" t="s">
        <v>7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139634.31</v>
      </c>
      <c r="K14" s="110"/>
      <c r="L14" s="160"/>
      <c r="M14" s="110"/>
      <c r="N14" s="110"/>
      <c r="O14" s="71" t="s">
        <v>92</v>
      </c>
    </row>
    <row r="15" spans="1:18" ht="18.75" customHeight="1" outlineLevel="1">
      <c r="A15" s="156" t="s">
        <v>8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91541.23</v>
      </c>
      <c r="K15" s="110"/>
      <c r="L15" s="160"/>
      <c r="M15" s="110"/>
      <c r="N15" s="110"/>
      <c r="O15" s="71" t="s">
        <v>93</v>
      </c>
    </row>
    <row r="16" spans="1:18" ht="18.75" customHeight="1" outlineLevel="1">
      <c r="A16" s="156" t="s">
        <v>9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91541.23</v>
      </c>
      <c r="K16" s="110"/>
      <c r="L16" s="160"/>
      <c r="M16" s="110"/>
      <c r="N16" s="110"/>
      <c r="O16" s="71" t="s">
        <v>94</v>
      </c>
    </row>
    <row r="17" spans="1:23" ht="18.75" customHeight="1" outlineLevel="1">
      <c r="A17" s="156" t="s">
        <v>10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10"/>
      <c r="L17" s="160"/>
      <c r="M17" s="110"/>
      <c r="N17" s="110"/>
      <c r="O17" s="71" t="s">
        <v>95</v>
      </c>
    </row>
    <row r="18" spans="1:23" ht="18.75" customHeight="1" outlineLevel="1">
      <c r="A18" s="156" t="s">
        <v>11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10"/>
      <c r="L18" s="160"/>
      <c r="M18" s="110"/>
      <c r="N18" s="110"/>
      <c r="O18" s="71" t="s">
        <v>96</v>
      </c>
    </row>
    <row r="19" spans="1:23" ht="18.75" customHeight="1" outlineLevel="1">
      <c r="A19" s="156" t="s">
        <v>12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10"/>
      <c r="L19" s="160"/>
      <c r="M19" s="110"/>
      <c r="N19" s="110"/>
      <c r="O19" s="71" t="s">
        <v>97</v>
      </c>
    </row>
    <row r="20" spans="1:23" ht="18.75" customHeight="1" outlineLevel="1">
      <c r="A20" s="156" t="s">
        <v>13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10"/>
      <c r="L20" s="160"/>
      <c r="M20" s="110"/>
      <c r="N20" s="110"/>
      <c r="O20" s="71" t="s">
        <v>98</v>
      </c>
    </row>
    <row r="21" spans="1:23" ht="18.75" customHeight="1" outlineLevel="1">
      <c r="A21" s="156" t="s">
        <v>14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91541.23</v>
      </c>
      <c r="K21" s="110"/>
      <c r="L21" s="160"/>
      <c r="M21" s="110"/>
      <c r="N21" s="110"/>
      <c r="O21" s="71" t="s">
        <v>99</v>
      </c>
    </row>
    <row r="22" spans="1:23" ht="18.75" customHeight="1" outlineLevel="1">
      <c r="A22" s="156" t="s">
        <v>15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10"/>
      <c r="L22" s="160"/>
      <c r="M22" s="110"/>
      <c r="N22" s="110"/>
      <c r="O22" s="71" t="s">
        <v>100</v>
      </c>
    </row>
    <row r="23" spans="1:23" ht="18.75" customHeight="1" outlineLevel="1">
      <c r="A23" s="156" t="s">
        <v>16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10"/>
      <c r="L23" s="160"/>
      <c r="M23" s="110"/>
      <c r="N23" s="110"/>
      <c r="O23" s="71" t="s">
        <v>101</v>
      </c>
    </row>
    <row r="24" spans="1:23" ht="18.75" customHeight="1" outlineLevel="1">
      <c r="A24" s="156" t="s">
        <v>17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524147.26</v>
      </c>
      <c r="K24" s="110"/>
      <c r="L24" s="160"/>
      <c r="M24" s="110"/>
      <c r="N24" s="110"/>
      <c r="O24" s="71" t="s">
        <v>102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43" t="s">
        <v>18</v>
      </c>
      <c r="B27" s="143"/>
      <c r="C27" s="143"/>
      <c r="D27" s="143"/>
      <c r="E27" s="143"/>
      <c r="F27" s="143" t="s">
        <v>19</v>
      </c>
      <c r="G27" s="143"/>
      <c r="H27" s="5" t="s">
        <v>56</v>
      </c>
      <c r="I27" s="143" t="s">
        <v>20</v>
      </c>
      <c r="J27" s="143"/>
      <c r="K27" s="110"/>
      <c r="L27" s="161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95485.39</v>
      </c>
      <c r="G28" s="138"/>
      <c r="H28" s="6" t="str">
        <f>VLOOKUP(A28,ПТО!$A$39:$D$53,3,FALSE)</f>
        <v>Ежемесячно</v>
      </c>
      <c r="I28" s="139">
        <f>VLOOKUP(A28,ПТО!$A$39:$D$53,4,FALSE)</f>
        <v>7</v>
      </c>
      <c r="J28" s="139"/>
      <c r="K28" s="110"/>
      <c r="L28" s="161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7" t="str">
        <f>ПТО!A40</f>
        <v>Работы по содержанию лифта (лифтов)</v>
      </c>
      <c r="B29" s="137"/>
      <c r="C29" s="137"/>
      <c r="D29" s="137"/>
      <c r="E29" s="137"/>
      <c r="F29" s="138">
        <f>VLOOKUP(A29,ПТО!$A$39:$D$53,2,FALSE)</f>
        <v>50108.94</v>
      </c>
      <c r="G29" s="138"/>
      <c r="H29" s="42" t="str">
        <f>VLOOKUP(A29,ПТО!$A$39:$D$53,3,FALSE)</f>
        <v>Ежемесячно</v>
      </c>
      <c r="I29" s="139">
        <f>VLOOKUP(A29,ПТО!$A$39:$D$53,4,FALSE)</f>
        <v>7</v>
      </c>
      <c r="J29" s="139"/>
      <c r="K29" s="110"/>
      <c r="L29" s="161"/>
      <c r="M29" s="110"/>
      <c r="N29" s="110"/>
      <c r="O29" s="23" t="str">
        <f t="shared" si="1"/>
        <v>Работы по содержанию лифта (лифтов)</v>
      </c>
      <c r="R29" s="1" t="s">
        <v>74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38">
        <f>VLOOKUP(A30,ПТО!$A$39:$D$53,2,FALSE)</f>
        <v>57068.55</v>
      </c>
      <c r="G30" s="138"/>
      <c r="H30" s="42" t="str">
        <f>VLOOKUP(A30,ПТО!$A$39:$D$53,3,FALSE)</f>
        <v>В соответствии с графиком</v>
      </c>
      <c r="I30" s="139">
        <f>VLOOKUP(A30,ПТО!$A$39:$D$53,4,FALSE)</f>
        <v>7</v>
      </c>
      <c r="J30" s="139"/>
      <c r="K30" s="110"/>
      <c r="L30" s="161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32849.18</v>
      </c>
      <c r="G31" s="138"/>
      <c r="H31" s="42" t="str">
        <f>VLOOKUP(A31,ПТО!$A$39:$D$53,3,FALSE)</f>
        <v>Ежемесячно</v>
      </c>
      <c r="I31" s="139">
        <f>VLOOKUP(A31,ПТО!$A$39:$D$53,4,FALSE)</f>
        <v>7</v>
      </c>
      <c r="J31" s="139"/>
      <c r="K31" s="110"/>
      <c r="L31" s="161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0"/>
      <c r="L32" s="161"/>
      <c r="M32" s="110"/>
      <c r="N32" s="110"/>
      <c r="O32" s="23">
        <f t="shared" si="1"/>
        <v>0</v>
      </c>
      <c r="R32" s="1" t="s">
        <v>74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13919.15</v>
      </c>
      <c r="G33" s="138"/>
      <c r="H33" s="42" t="str">
        <f>VLOOKUP(A33,ПТО!$A$39:$D$53,3,FALSE)</f>
        <v>Круглосуточно</v>
      </c>
      <c r="I33" s="139">
        <f>VLOOKUP(A33,ПТО!$A$39:$D$53,4,FALSE)</f>
        <v>7</v>
      </c>
      <c r="J33" s="139"/>
      <c r="K33" s="110"/>
      <c r="L33" s="161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57068.55</v>
      </c>
      <c r="G34" s="138"/>
      <c r="H34" s="42" t="str">
        <f>VLOOKUP(A34,ПТО!$A$39:$D$53,3,FALSE)</f>
        <v>В соответствии с графиком</v>
      </c>
      <c r="I34" s="139">
        <f>VLOOKUP(A34,ПТО!$A$39:$D$53,4,FALSE)</f>
        <v>7</v>
      </c>
      <c r="J34" s="139"/>
      <c r="K34" s="110"/>
      <c r="L34" s="161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customHeight="1" outlineLevel="1">
      <c r="A35" s="137" t="str">
        <f>ПТО!A46</f>
        <v>Работы по обеспечению пожарной безопасности</v>
      </c>
      <c r="B35" s="137"/>
      <c r="C35" s="137"/>
      <c r="D35" s="137"/>
      <c r="E35" s="137"/>
      <c r="F35" s="138">
        <f>VLOOKUP(A35,ПТО!$A$39:$D$53,2,FALSE)</f>
        <v>29230.25</v>
      </c>
      <c r="G35" s="138"/>
      <c r="H35" s="42" t="str">
        <f>VLOOKUP(A35,ПТО!$A$39:$D$53,3,FALSE)</f>
        <v>Ежемесячно</v>
      </c>
      <c r="I35" s="139">
        <f>VLOOKUP(A35,ПТО!$A$39:$D$53,4,FALSE)</f>
        <v>7</v>
      </c>
      <c r="J35" s="139"/>
      <c r="K35" s="110"/>
      <c r="L35" s="161"/>
      <c r="M35" s="115"/>
      <c r="N35" s="110"/>
      <c r="O35" s="23" t="str">
        <f t="shared" si="1"/>
        <v>Работы по обеспечению пожарной безопасности</v>
      </c>
      <c r="R35" s="1" t="s">
        <v>74</v>
      </c>
    </row>
    <row r="36" spans="1:18" ht="51" hidden="1" customHeight="1" outlineLevel="1">
      <c r="A36" s="137" t="str">
        <f>ПТО!A47</f>
        <v>Услуги и работы по управлению МКД</v>
      </c>
      <c r="B36" s="137"/>
      <c r="C36" s="137"/>
      <c r="D36" s="137"/>
      <c r="E36" s="137"/>
      <c r="F36" s="138">
        <f>VLOOKUP(A36,ПТО!$A$39:$D$53,2,FALSE)</f>
        <v>139191.5</v>
      </c>
      <c r="G36" s="138"/>
      <c r="H36" s="42" t="str">
        <f>VLOOKUP(A36,ПТО!$A$39:$D$53,3,FALSE)</f>
        <v>Ежемесячно</v>
      </c>
      <c r="I36" s="139">
        <f>VLOOKUP(A36,ПТО!$A$39:$D$53,4,FALSE)</f>
        <v>7</v>
      </c>
      <c r="J36" s="139"/>
      <c r="K36" s="110"/>
      <c r="L36" s="161"/>
      <c r="M36" s="115"/>
      <c r="N36" s="110"/>
      <c r="O36" s="23" t="str">
        <f t="shared" si="1"/>
        <v>Услуги и работы по управлению МКД</v>
      </c>
      <c r="R36" s="1" t="s">
        <v>74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0"/>
      <c r="L37" s="161"/>
      <c r="M37" s="115"/>
      <c r="N37" s="110"/>
      <c r="O37" s="23">
        <f t="shared" si="1"/>
        <v>0</v>
      </c>
      <c r="R37" s="1" t="s">
        <v>74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0"/>
      <c r="L38" s="161"/>
      <c r="M38" s="115"/>
      <c r="N38" s="110"/>
      <c r="O38" s="23">
        <f t="shared" si="1"/>
        <v>0</v>
      </c>
      <c r="R38" s="1" t="s">
        <v>74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0"/>
      <c r="L39" s="161"/>
      <c r="M39" s="115"/>
      <c r="N39" s="110"/>
      <c r="O39" s="23">
        <f t="shared" si="1"/>
        <v>0</v>
      </c>
      <c r="R39" s="1" t="s">
        <v>74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0"/>
      <c r="L40" s="161"/>
      <c r="M40" s="115"/>
      <c r="N40" s="110"/>
      <c r="O40" s="23">
        <f t="shared" si="1"/>
        <v>0</v>
      </c>
      <c r="R40" s="1" t="s">
        <v>74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0"/>
      <c r="L41" s="161"/>
      <c r="M41" s="115"/>
      <c r="N41" s="110"/>
      <c r="O41" s="23">
        <f t="shared" si="1"/>
        <v>0</v>
      </c>
      <c r="R41" s="1" t="s">
        <v>74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0"/>
      <c r="L42" s="161"/>
      <c r="M42" s="115"/>
      <c r="N42" s="110"/>
      <c r="O42" s="23">
        <f t="shared" si="1"/>
        <v>0</v>
      </c>
      <c r="R42" s="1" t="s">
        <v>74</v>
      </c>
    </row>
    <row r="43" spans="1:18" ht="51" customHeight="1" outlineLevel="1">
      <c r="A43" s="137" t="str">
        <f>ПТО!A2</f>
        <v>Монтаж охранной сигнализации в подвале.</v>
      </c>
      <c r="B43" s="137"/>
      <c r="C43" s="137"/>
      <c r="D43" s="137"/>
      <c r="E43" s="137"/>
      <c r="F43" s="138">
        <f>VLOOKUP(A43,ПТО!$A$2:$D$31,4,FALSE)</f>
        <v>13125.06</v>
      </c>
      <c r="G43" s="138"/>
      <c r="H43" s="19" t="str">
        <f>VLOOKUP(A43,ПТО!$A$2:$D$31,2,FALSE)</f>
        <v>разово</v>
      </c>
      <c r="I43" s="139">
        <f>VLOOKUP(A43,ПТО!$A$2:$D$31,3,FALSE)</f>
        <v>1</v>
      </c>
      <c r="J43" s="139"/>
      <c r="K43" s="110"/>
      <c r="L43" s="161"/>
      <c r="M43" s="115"/>
      <c r="N43" s="110"/>
      <c r="O43" s="23" t="str">
        <f t="shared" si="1"/>
        <v>Монтаж охранной сигнализации в подвале.</v>
      </c>
      <c r="R43" s="22" t="s">
        <v>75</v>
      </c>
    </row>
    <row r="44" spans="1:18" ht="51" customHeight="1" outlineLevel="1">
      <c r="A44" s="137" t="str">
        <f>ПТО!A3</f>
        <v>Техническое обслуживание охранной сигнализации.</v>
      </c>
      <c r="B44" s="137"/>
      <c r="C44" s="137"/>
      <c r="D44" s="137"/>
      <c r="E44" s="137"/>
      <c r="F44" s="138">
        <f>VLOOKUP(A44,ПТО!$A$2:$D$31,4,FALSE)</f>
        <v>4500</v>
      </c>
      <c r="G44" s="138"/>
      <c r="H44" s="25" t="str">
        <f>VLOOKUP(A44,ПТО!$A$2:$D$31,2,FALSE)</f>
        <v>ежемесячно</v>
      </c>
      <c r="I44" s="139">
        <f>VLOOKUP(A44,ПТО!$A$2:$D$31,3,FALSE)</f>
        <v>5</v>
      </c>
      <c r="J44" s="139"/>
      <c r="K44" s="110"/>
      <c r="L44" s="161"/>
      <c r="M44" s="115"/>
      <c r="N44" s="110"/>
      <c r="O44" s="23" t="str">
        <f t="shared" si="1"/>
        <v>Техническое обслуживание охранной сигнализации.</v>
      </c>
      <c r="R44" s="22" t="s">
        <v>75</v>
      </c>
    </row>
    <row r="45" spans="1:18" ht="51" customHeight="1" outlineLevel="1">
      <c r="A45" s="137" t="str">
        <f>ПТО!A4</f>
        <v>Изготовление и монтаж металлической двери выход на кровлю.</v>
      </c>
      <c r="B45" s="137"/>
      <c r="C45" s="137"/>
      <c r="D45" s="137"/>
      <c r="E45" s="137"/>
      <c r="F45" s="138">
        <f>VLOOKUP(A45,ПТО!$A$2:$D$31,4,FALSE)</f>
        <v>19560</v>
      </c>
      <c r="G45" s="138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0"/>
      <c r="L45" s="161"/>
      <c r="M45" s="115"/>
      <c r="N45" s="110"/>
      <c r="O45" s="23" t="str">
        <f t="shared" si="1"/>
        <v>Изготовление и монтаж металлической двери выход на кровлю.</v>
      </c>
      <c r="R45" s="22" t="s">
        <v>75</v>
      </c>
    </row>
    <row r="46" spans="1:18" ht="51" customHeight="1" outlineLevel="1">
      <c r="A46" s="137" t="str">
        <f>ПТО!A5</f>
        <v>Изготовление и монтаж металлической межэтажной двери.</v>
      </c>
      <c r="B46" s="137"/>
      <c r="C46" s="137"/>
      <c r="D46" s="137"/>
      <c r="E46" s="137"/>
      <c r="F46" s="138">
        <f>VLOOKUP(A46,ПТО!$A$2:$D$31,4,FALSE)</f>
        <v>11600</v>
      </c>
      <c r="G46" s="138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0"/>
      <c r="L46" s="161"/>
      <c r="M46" s="115"/>
      <c r="N46" s="110"/>
      <c r="O46" s="23" t="str">
        <f t="shared" si="1"/>
        <v>Изготовление и монтаж металлической межэтажной двери.</v>
      </c>
      <c r="R46" s="22" t="s">
        <v>75</v>
      </c>
    </row>
    <row r="47" spans="1:18" ht="51" customHeight="1" outlineLevel="1">
      <c r="A47" s="137" t="str">
        <f>ПТО!A6</f>
        <v>Установка тамбурной двери.</v>
      </c>
      <c r="B47" s="137"/>
      <c r="C47" s="137"/>
      <c r="D47" s="137"/>
      <c r="E47" s="137"/>
      <c r="F47" s="138">
        <f>VLOOKUP(A47,ПТО!$A$2:$D$31,4,FALSE)</f>
        <v>31246.61</v>
      </c>
      <c r="G47" s="138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10"/>
      <c r="L47" s="161"/>
      <c r="M47" s="115"/>
      <c r="N47" s="110"/>
      <c r="O47" s="23" t="str">
        <f t="shared" si="1"/>
        <v>Установка тамбурной двери.</v>
      </c>
      <c r="R47" s="22" t="s">
        <v>75</v>
      </c>
    </row>
    <row r="48" spans="1:18" ht="51" customHeight="1" outlineLevel="1">
      <c r="A48" s="137" t="str">
        <f>ПТО!A7</f>
        <v>Аварийное восстановление стояков отопления в подъезде.</v>
      </c>
      <c r="B48" s="137"/>
      <c r="C48" s="137"/>
      <c r="D48" s="137"/>
      <c r="E48" s="137"/>
      <c r="F48" s="138">
        <f>VLOOKUP(A48,ПТО!$A$2:$D$31,4,FALSE)</f>
        <v>129927.42</v>
      </c>
      <c r="G48" s="138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10"/>
      <c r="L48" s="161"/>
      <c r="M48" s="115"/>
      <c r="N48" s="110"/>
      <c r="O48" s="23" t="str">
        <f t="shared" si="1"/>
        <v>Аварийное восстановление стояков отопления в подъезде.</v>
      </c>
      <c r="R48" s="22" t="s">
        <v>75</v>
      </c>
    </row>
    <row r="49" spans="1:18" ht="51" customHeight="1" outlineLevel="1">
      <c r="A49" s="137" t="str">
        <f>ПТО!A8</f>
        <v>Ремонт подъезда (1 этаж).</v>
      </c>
      <c r="B49" s="137"/>
      <c r="C49" s="137"/>
      <c r="D49" s="137"/>
      <c r="E49" s="137"/>
      <c r="F49" s="138">
        <f>VLOOKUP(A49,ПТО!$A$2:$D$31,4,FALSE)</f>
        <v>27720.01</v>
      </c>
      <c r="G49" s="138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10"/>
      <c r="L49" s="161"/>
      <c r="M49" s="115"/>
      <c r="N49" s="110"/>
      <c r="O49" s="23" t="str">
        <f t="shared" si="1"/>
        <v>Ремонт подъезда (1 этаж).</v>
      </c>
      <c r="R49" s="22" t="s">
        <v>75</v>
      </c>
    </row>
    <row r="50" spans="1:18" ht="51" customHeight="1" outlineLevel="1">
      <c r="A50" s="137" t="str">
        <f>ПТО!A9</f>
        <v>Воздухоотводчики для стояков отопления в подъезде.</v>
      </c>
      <c r="B50" s="137"/>
      <c r="C50" s="137"/>
      <c r="D50" s="137"/>
      <c r="E50" s="137"/>
      <c r="F50" s="138">
        <f>VLOOKUP(A50,ПТО!$A$2:$D$31,4,FALSE)</f>
        <v>906</v>
      </c>
      <c r="G50" s="138"/>
      <c r="H50" s="25" t="str">
        <f>VLOOKUP(A50,ПТО!$A$2:$D$31,2,FALSE)</f>
        <v>разово</v>
      </c>
      <c r="I50" s="139">
        <f>VLOOKUP(A50,ПТО!$A$2:$D$31,3,FALSE)</f>
        <v>1</v>
      </c>
      <c r="J50" s="139"/>
      <c r="K50" s="110"/>
      <c r="L50" s="161"/>
      <c r="M50" s="115"/>
      <c r="N50" s="110"/>
      <c r="O50" s="23" t="str">
        <f t="shared" si="1"/>
        <v>Воздухоотводчики для стояков отопления в подъезде.</v>
      </c>
      <c r="R50" s="22" t="s">
        <v>75</v>
      </c>
    </row>
    <row r="51" spans="1:18" ht="51" customHeight="1" outlineLevel="1">
      <c r="A51" s="137" t="str">
        <f>ПТО!A10</f>
        <v>Ремонт системы видеонаблюдения.</v>
      </c>
      <c r="B51" s="137"/>
      <c r="C51" s="137"/>
      <c r="D51" s="137"/>
      <c r="E51" s="137"/>
      <c r="F51" s="138">
        <f>VLOOKUP(A51,ПТО!$A$2:$D$31,4,FALSE)</f>
        <v>2500</v>
      </c>
      <c r="G51" s="138"/>
      <c r="H51" s="25" t="str">
        <f>VLOOKUP(A51,ПТО!$A$2:$D$31,2,FALSE)</f>
        <v>разово</v>
      </c>
      <c r="I51" s="139">
        <f>VLOOKUP(A51,ПТО!$A$2:$D$31,3,FALSE)</f>
        <v>1</v>
      </c>
      <c r="J51" s="139"/>
      <c r="K51" s="110"/>
      <c r="L51" s="161"/>
      <c r="M51" s="115"/>
      <c r="N51" s="110"/>
      <c r="O51" s="23" t="str">
        <f t="shared" si="1"/>
        <v>Ремонт системы видеонаблюдения.</v>
      </c>
      <c r="R51" s="22" t="s">
        <v>75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0"/>
      <c r="L52" s="161"/>
      <c r="M52" s="115"/>
      <c r="N52" s="110"/>
      <c r="O52" s="23">
        <f t="shared" si="1"/>
        <v>0</v>
      </c>
      <c r="R52" s="22" t="s">
        <v>75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0"/>
      <c r="L53" s="161"/>
      <c r="M53" s="115"/>
      <c r="N53" s="110"/>
      <c r="O53" s="23">
        <f t="shared" si="1"/>
        <v>0</v>
      </c>
      <c r="R53" s="22" t="s">
        <v>75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0"/>
      <c r="L54" s="161"/>
      <c r="M54" s="115"/>
      <c r="N54" s="110"/>
      <c r="O54" s="23">
        <f t="shared" si="1"/>
        <v>0</v>
      </c>
      <c r="R54" s="22" t="s">
        <v>75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0"/>
      <c r="L55" s="161"/>
      <c r="M55" s="115"/>
      <c r="N55" s="110"/>
      <c r="O55" s="23">
        <f t="shared" si="1"/>
        <v>0</v>
      </c>
      <c r="R55" s="22" t="s">
        <v>75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0"/>
      <c r="L56" s="161"/>
      <c r="M56" s="115"/>
      <c r="N56" s="110"/>
      <c r="O56" s="23">
        <f t="shared" si="1"/>
        <v>0</v>
      </c>
      <c r="R56" s="22" t="s">
        <v>75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0"/>
      <c r="L57" s="161"/>
      <c r="M57" s="115"/>
      <c r="N57" s="110"/>
      <c r="O57" s="23">
        <f t="shared" si="1"/>
        <v>0</v>
      </c>
      <c r="R57" s="22" t="s">
        <v>75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0"/>
      <c r="L58" s="161"/>
      <c r="M58" s="115"/>
      <c r="N58" s="110"/>
      <c r="O58" s="23">
        <f t="shared" si="1"/>
        <v>0</v>
      </c>
      <c r="R58" s="22" t="s">
        <v>75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0"/>
      <c r="L59" s="161"/>
      <c r="M59" s="115"/>
      <c r="N59" s="110"/>
      <c r="O59" s="23">
        <f t="shared" si="1"/>
        <v>0</v>
      </c>
      <c r="R59" s="22" t="s">
        <v>75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0"/>
      <c r="L60" s="161"/>
      <c r="M60" s="115"/>
      <c r="N60" s="110"/>
      <c r="O60" s="23">
        <f t="shared" si="1"/>
        <v>0</v>
      </c>
      <c r="R60" s="22" t="s">
        <v>75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0"/>
      <c r="L61" s="161"/>
      <c r="M61" s="115"/>
      <c r="N61" s="110"/>
      <c r="O61" s="23">
        <f t="shared" si="1"/>
        <v>0</v>
      </c>
      <c r="R61" s="22" t="s">
        <v>75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0"/>
      <c r="L62" s="161"/>
      <c r="M62" s="115"/>
      <c r="N62" s="110"/>
      <c r="O62" s="23">
        <f t="shared" si="1"/>
        <v>0</v>
      </c>
      <c r="R62" s="22" t="s">
        <v>75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0"/>
      <c r="L63" s="161"/>
      <c r="M63" s="115"/>
      <c r="N63" s="110"/>
      <c r="O63" s="23">
        <f t="shared" si="1"/>
        <v>0</v>
      </c>
      <c r="R63" s="22" t="s">
        <v>75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0"/>
      <c r="L64" s="161"/>
      <c r="M64" s="115"/>
      <c r="N64" s="110"/>
      <c r="O64" s="23">
        <f t="shared" si="1"/>
        <v>0</v>
      </c>
      <c r="R64" s="22" t="s">
        <v>75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0"/>
      <c r="L65" s="161"/>
      <c r="M65" s="115"/>
      <c r="N65" s="110"/>
      <c r="O65" s="23">
        <f t="shared" si="1"/>
        <v>0</v>
      </c>
      <c r="R65" s="22" t="s">
        <v>75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0"/>
      <c r="L66" s="161"/>
      <c r="M66" s="115"/>
      <c r="N66" s="110"/>
      <c r="O66" s="23">
        <f t="shared" si="1"/>
        <v>0</v>
      </c>
      <c r="R66" s="22" t="s">
        <v>75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0"/>
      <c r="L67" s="161"/>
      <c r="M67" s="115"/>
      <c r="N67" s="110"/>
      <c r="O67" s="23">
        <f t="shared" si="1"/>
        <v>0</v>
      </c>
      <c r="R67" s="22" t="s">
        <v>75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0"/>
      <c r="L68" s="161"/>
      <c r="M68" s="115"/>
      <c r="N68" s="110"/>
      <c r="O68" s="23">
        <f t="shared" si="1"/>
        <v>0</v>
      </c>
      <c r="R68" s="22" t="s">
        <v>75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0"/>
      <c r="L69" s="161"/>
      <c r="M69" s="115"/>
      <c r="N69" s="110"/>
      <c r="O69" s="23">
        <f t="shared" si="1"/>
        <v>0</v>
      </c>
      <c r="R69" s="22" t="s">
        <v>75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0"/>
      <c r="L70" s="161"/>
      <c r="M70" s="115"/>
      <c r="N70" s="110"/>
      <c r="O70" s="23">
        <f t="shared" si="1"/>
        <v>0</v>
      </c>
      <c r="R70" s="22" t="s">
        <v>75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5"/>
      <c r="L71" s="161"/>
      <c r="M71" s="115"/>
      <c r="N71" s="115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0"/>
      <c r="L72" s="161"/>
      <c r="M72" s="115"/>
      <c r="N72" s="110"/>
      <c r="O72" s="23">
        <f t="shared" si="1"/>
        <v>0</v>
      </c>
      <c r="R72" s="22" t="s">
        <v>75</v>
      </c>
    </row>
    <row r="73" spans="1:16384">
      <c r="A73" s="105" t="s">
        <v>178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55" t="s">
        <v>26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0"/>
      <c r="L75" s="144"/>
      <c r="M75" s="110"/>
      <c r="N75" s="110"/>
      <c r="O75" s="71" t="s">
        <v>103</v>
      </c>
    </row>
    <row r="76" spans="1:16384" ht="18.75" customHeight="1" outlineLevel="1">
      <c r="A76" s="155" t="s">
        <v>27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0"/>
      <c r="L76" s="144"/>
      <c r="M76" s="110"/>
      <c r="N76" s="110"/>
      <c r="O76" s="71" t="s">
        <v>104</v>
      </c>
    </row>
    <row r="77" spans="1:16384" ht="21.75" customHeight="1" outlineLevel="1">
      <c r="A77" s="155" t="s">
        <v>28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0"/>
      <c r="L77" s="144"/>
      <c r="M77" s="110"/>
      <c r="N77" s="110"/>
      <c r="O77" s="71" t="s">
        <v>105</v>
      </c>
    </row>
    <row r="78" spans="1:16384" ht="18.75" customHeight="1" outlineLevel="1">
      <c r="A78" s="155" t="s">
        <v>29</v>
      </c>
      <c r="B78" s="155"/>
      <c r="C78" s="155"/>
      <c r="D78" s="155"/>
      <c r="E78" s="155"/>
      <c r="F78" s="155"/>
      <c r="G78" s="155"/>
      <c r="H78" s="155"/>
      <c r="I78" s="155"/>
      <c r="J78" s="98">
        <f>VLOOKUP(O78,АО,3,FALSE)</f>
        <v>0</v>
      </c>
      <c r="K78" s="110"/>
      <c r="L78" s="144"/>
      <c r="M78" s="110"/>
      <c r="N78" s="110"/>
      <c r="O78" s="71" t="s">
        <v>106</v>
      </c>
    </row>
    <row r="79" spans="1:16384">
      <c r="A79" s="114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45" t="s">
        <v>1</v>
      </c>
      <c r="B81" s="145"/>
      <c r="C81" s="145"/>
      <c r="D81" s="145"/>
      <c r="E81" s="145"/>
      <c r="F81" s="145"/>
      <c r="G81" s="145"/>
      <c r="H81" s="145"/>
      <c r="I81" s="145"/>
      <c r="J81" s="98">
        <f t="shared" ref="J81:J90" si="2">VLOOKUP(O81,АО,3,FALSE)</f>
        <v>0</v>
      </c>
      <c r="K81" s="110"/>
      <c r="L81" s="162"/>
      <c r="M81" s="110"/>
      <c r="N81" s="110"/>
      <c r="O81" s="71" t="s">
        <v>107</v>
      </c>
    </row>
    <row r="82" spans="1:15" outlineLevel="1">
      <c r="A82" s="145" t="s">
        <v>2</v>
      </c>
      <c r="B82" s="145"/>
      <c r="C82" s="145"/>
      <c r="D82" s="145"/>
      <c r="E82" s="145"/>
      <c r="F82" s="145"/>
      <c r="G82" s="145"/>
      <c r="H82" s="145"/>
      <c r="I82" s="145"/>
      <c r="J82" s="98">
        <f t="shared" si="2"/>
        <v>0</v>
      </c>
      <c r="K82" s="110"/>
      <c r="L82" s="162"/>
      <c r="M82" s="110"/>
      <c r="N82" s="110"/>
      <c r="O82" s="71" t="s">
        <v>108</v>
      </c>
    </row>
    <row r="83" spans="1:15" outlineLevel="1">
      <c r="A83" s="152" t="s">
        <v>3</v>
      </c>
      <c r="B83" s="153"/>
      <c r="C83" s="153"/>
      <c r="D83" s="153"/>
      <c r="E83" s="153"/>
      <c r="F83" s="153"/>
      <c r="G83" s="153"/>
      <c r="H83" s="153"/>
      <c r="I83" s="154"/>
      <c r="J83" s="98">
        <f t="shared" si="2"/>
        <v>0</v>
      </c>
      <c r="K83" s="110"/>
      <c r="L83" s="162"/>
      <c r="M83" s="110"/>
      <c r="N83" s="110"/>
      <c r="O83" s="71" t="s">
        <v>109</v>
      </c>
    </row>
    <row r="84" spans="1:15" outlineLevel="1">
      <c r="A84" s="152" t="s">
        <v>15</v>
      </c>
      <c r="B84" s="153"/>
      <c r="C84" s="153"/>
      <c r="D84" s="153"/>
      <c r="E84" s="153"/>
      <c r="F84" s="153"/>
      <c r="G84" s="153"/>
      <c r="H84" s="153"/>
      <c r="I84" s="154"/>
      <c r="J84" s="98">
        <f t="shared" si="2"/>
        <v>0</v>
      </c>
      <c r="K84" s="110"/>
      <c r="L84" s="162"/>
      <c r="M84" s="110"/>
      <c r="N84" s="110"/>
      <c r="O84" s="71" t="s">
        <v>110</v>
      </c>
    </row>
    <row r="85" spans="1:15" outlineLevel="1">
      <c r="A85" s="152" t="s">
        <v>16</v>
      </c>
      <c r="B85" s="153"/>
      <c r="C85" s="153"/>
      <c r="D85" s="153"/>
      <c r="E85" s="153"/>
      <c r="F85" s="153"/>
      <c r="G85" s="153"/>
      <c r="H85" s="153"/>
      <c r="I85" s="154"/>
      <c r="J85" s="98">
        <f t="shared" si="2"/>
        <v>0</v>
      </c>
      <c r="K85" s="110"/>
      <c r="L85" s="162"/>
      <c r="M85" s="110"/>
      <c r="N85" s="110"/>
      <c r="O85" s="71" t="s">
        <v>111</v>
      </c>
    </row>
    <row r="86" spans="1:15" outlineLevel="1">
      <c r="A86" s="152" t="s">
        <v>17</v>
      </c>
      <c r="B86" s="153"/>
      <c r="C86" s="153"/>
      <c r="D86" s="153"/>
      <c r="E86" s="153"/>
      <c r="F86" s="153"/>
      <c r="G86" s="153"/>
      <c r="H86" s="153"/>
      <c r="I86" s="154"/>
      <c r="J86" s="98">
        <f t="shared" si="2"/>
        <v>63737.38</v>
      </c>
      <c r="K86" s="110"/>
      <c r="L86" s="162"/>
      <c r="M86" s="110"/>
      <c r="N86" s="110"/>
      <c r="O86" s="71" t="s">
        <v>112</v>
      </c>
    </row>
    <row r="87" spans="1:15" ht="18.75" customHeight="1" outlineLevel="1">
      <c r="A87" s="152" t="s">
        <v>26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0"/>
      <c r="L87" s="162"/>
      <c r="M87" s="110"/>
      <c r="N87" s="110"/>
      <c r="O87" s="71" t="s">
        <v>113</v>
      </c>
    </row>
    <row r="88" spans="1:15" ht="18.75" customHeight="1" outlineLevel="1">
      <c r="A88" s="152" t="s">
        <v>27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0"/>
      <c r="L88" s="162"/>
      <c r="M88" s="110"/>
      <c r="N88" s="110"/>
      <c r="O88" s="71" t="s">
        <v>114</v>
      </c>
    </row>
    <row r="89" spans="1:15" ht="18.75" customHeight="1" outlineLevel="1">
      <c r="A89" s="152" t="s">
        <v>28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0"/>
      <c r="L89" s="162"/>
      <c r="M89" s="110"/>
      <c r="N89" s="110"/>
      <c r="O89" s="71" t="s">
        <v>115</v>
      </c>
    </row>
    <row r="90" spans="1:15" ht="18.75" customHeight="1" outlineLevel="1">
      <c r="A90" s="152" t="s">
        <v>29</v>
      </c>
      <c r="B90" s="153"/>
      <c r="C90" s="153"/>
      <c r="D90" s="153"/>
      <c r="E90" s="153"/>
      <c r="F90" s="153"/>
      <c r="G90" s="153"/>
      <c r="H90" s="153"/>
      <c r="I90" s="154"/>
      <c r="J90" s="98">
        <f t="shared" si="2"/>
        <v>0</v>
      </c>
      <c r="K90" s="110"/>
      <c r="L90" s="162"/>
      <c r="M90" s="110"/>
      <c r="N90" s="110"/>
      <c r="O90" s="71" t="s">
        <v>116</v>
      </c>
    </row>
    <row r="91" spans="1:15">
      <c r="A91" s="105" t="s">
        <v>178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46" t="s">
        <v>47</v>
      </c>
      <c r="B93" s="146"/>
      <c r="C93" s="146"/>
      <c r="D93" s="149" t="s">
        <v>48</v>
      </c>
      <c r="E93" s="149"/>
      <c r="F93" s="10" t="s">
        <v>49</v>
      </c>
      <c r="G93" s="146" t="s">
        <v>50</v>
      </c>
      <c r="H93" s="146"/>
      <c r="I93" s="146"/>
      <c r="J93" s="146"/>
      <c r="K93" s="110"/>
      <c r="L93" s="110"/>
      <c r="M93" s="110"/>
      <c r="N93" s="110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47431.05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43316.03</v>
      </c>
      <c r="L95" s="163"/>
      <c r="O95" s="1" t="s">
        <v>117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27531.05</v>
      </c>
      <c r="L96" s="163"/>
      <c r="O96" s="1" t="s">
        <v>118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19900.000000000004</v>
      </c>
      <c r="L97" s="163"/>
      <c r="O97" s="1" t="s">
        <v>119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47431.05</v>
      </c>
      <c r="L98" s="163"/>
      <c r="O98" s="1" t="s">
        <v>120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47431.05</v>
      </c>
      <c r="L99" s="163"/>
      <c r="O99" s="1" t="s">
        <v>121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122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123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22201.119999999999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1594.34</v>
      </c>
      <c r="L103" s="163"/>
      <c r="O103" s="1" t="s">
        <v>126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18230.830000000002</v>
      </c>
      <c r="L104" s="163"/>
      <c r="O104" s="1" t="s">
        <v>127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3970.2899999999972</v>
      </c>
      <c r="L105" s="163"/>
      <c r="O105" s="1" t="s">
        <v>128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22201.119999999999</v>
      </c>
      <c r="L106" s="163"/>
      <c r="O106" s="1" t="s">
        <v>129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22201.119999999999</v>
      </c>
      <c r="L107" s="163"/>
      <c r="O107" s="1" t="s">
        <v>130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131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132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36330.480000000003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2435.02</v>
      </c>
      <c r="L111" s="163"/>
      <c r="O111" s="1" t="s">
        <v>134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29593.47</v>
      </c>
      <c r="L112" s="163"/>
      <c r="O112" s="1" t="s">
        <v>135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6737.010000000002</v>
      </c>
      <c r="L113" s="163"/>
      <c r="O113" s="1" t="s">
        <v>136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36330.480000000003</v>
      </c>
      <c r="L114" s="163"/>
      <c r="O114" s="1" t="s">
        <v>137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36330.480000000003</v>
      </c>
      <c r="L115" s="163"/>
      <c r="O115" s="1" t="s">
        <v>138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139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140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7">
        <f>VLOOKUP("тко",АО,5,FALSE)</f>
        <v>105402.05</v>
      </c>
      <c r="H118" s="148"/>
      <c r="I118" s="148"/>
      <c r="J118" s="148"/>
      <c r="L118" s="49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195.07</v>
      </c>
      <c r="L119" s="49"/>
      <c r="O119" s="1" t="s">
        <v>142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74248.75</v>
      </c>
      <c r="L120" s="49"/>
      <c r="O120" s="1" t="s">
        <v>143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31153.300000000003</v>
      </c>
      <c r="L121" s="49"/>
      <c r="O121" s="1" t="s">
        <v>144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105402.05</v>
      </c>
      <c r="L122" s="49"/>
      <c r="O122" s="1" t="s">
        <v>145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105402.05</v>
      </c>
      <c r="L123" s="49"/>
      <c r="O123" s="1" t="s">
        <v>146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9"/>
      <c r="O125" s="1" t="s">
        <v>148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7">
        <f>VLOOKUP("гвс",АО,5,FALSE)</f>
        <v>11058.54</v>
      </c>
      <c r="H126" s="148"/>
      <c r="I126" s="148"/>
      <c r="J126" s="148"/>
      <c r="L126" s="49"/>
    </row>
    <row r="127" spans="1:15" ht="32.25" customHeight="1" outlineLevel="2">
      <c r="A127" s="145" t="str">
        <f t="shared" ref="A127:A133" si="10">IF(VLOOKUP("гвс",АО,3,FALSE)&gt;0,VLOOKUP(O127,АО,2,FALSE),0)</f>
        <v>Общий объем потребления, нат. показ.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794.15</v>
      </c>
      <c r="L127" s="49"/>
      <c r="O127" s="1" t="s">
        <v>150</v>
      </c>
    </row>
    <row r="128" spans="1:15" ht="32.25" customHeight="1" outlineLevel="2">
      <c r="A128" s="145" t="str">
        <f t="shared" si="10"/>
        <v>Оплачено потребителями, руб.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9081.76</v>
      </c>
      <c r="L128" s="49"/>
      <c r="O128" s="1" t="s">
        <v>151</v>
      </c>
    </row>
    <row r="129" spans="1:15" ht="32.25" customHeight="1" outlineLevel="2">
      <c r="A129" s="145" t="str">
        <f t="shared" si="10"/>
        <v>Задолженность потребителей, руб.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1976.7800000000007</v>
      </c>
      <c r="L129" s="49"/>
      <c r="O129" s="1" t="s">
        <v>152</v>
      </c>
    </row>
    <row r="130" spans="1:15" ht="32.25" customHeight="1" outlineLevel="2">
      <c r="A130" s="145" t="str">
        <f t="shared" si="10"/>
        <v>Начислено поставщиком (поставщиками) коммунального ресурса, руб.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11058.54</v>
      </c>
      <c r="L130" s="49"/>
      <c r="O130" s="1" t="s">
        <v>153</v>
      </c>
    </row>
    <row r="131" spans="1:15" ht="32.25" customHeight="1" outlineLevel="2">
      <c r="A131" s="145" t="str">
        <f t="shared" si="10"/>
        <v>Оплачено поставщику (поставщикам) коммунального ресурса, руб.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11058.54</v>
      </c>
      <c r="L131" s="49"/>
      <c r="O131" s="1" t="s">
        <v>154</v>
      </c>
    </row>
    <row r="132" spans="1:15" ht="32.25" customHeight="1" outlineLevel="2">
      <c r="A132" s="145" t="str">
        <f t="shared" si="10"/>
        <v>Задолженность перед поставщиком (поставщиками) коммунального ресурса, руб.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9"/>
      <c r="O132" s="1" t="s">
        <v>155</v>
      </c>
    </row>
    <row r="133" spans="1:15" ht="32.25" customHeight="1" outlineLevel="2">
      <c r="A133" s="145" t="str">
        <f t="shared" si="10"/>
        <v>Размер пени и штрафов, уплаченных поставщику (поставщикам) коммунального ресурса, руб.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8"/>
      <c r="I134" s="148"/>
      <c r="J134" s="148"/>
      <c r="L134" s="49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9"/>
      <c r="O141" s="1" t="s">
        <v>164</v>
      </c>
    </row>
    <row r="143" spans="1:15">
      <c r="A143" s="11" t="s">
        <v>43</v>
      </c>
    </row>
    <row r="144" spans="1:15" ht="18.75" customHeight="1" outlineLevel="1">
      <c r="A144" s="145" t="s">
        <v>44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0</v>
      </c>
      <c r="O144" t="s">
        <v>174</v>
      </c>
    </row>
    <row r="145" spans="1:15" ht="18.75" customHeight="1" outlineLevel="1">
      <c r="A145" s="145" t="s">
        <v>45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45" t="s">
        <v>177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0</v>
      </c>
      <c r="O146" t="s">
        <v>176</v>
      </c>
    </row>
    <row r="149" spans="1:15" ht="52.5" customHeight="1">
      <c r="A149" s="141" t="s">
        <v>205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212</v>
      </c>
      <c r="E151" s="3">
        <v>43617</v>
      </c>
    </row>
    <row r="152" spans="1:15">
      <c r="A152" s="1" t="s">
        <v>0</v>
      </c>
      <c r="E152" s="3">
        <v>43830</v>
      </c>
    </row>
    <row r="154" spans="1:15" ht="39.75" customHeight="1">
      <c r="A154" s="140" t="s">
        <v>70</v>
      </c>
      <c r="B154" s="140"/>
      <c r="C154" s="140"/>
      <c r="D154" s="140"/>
      <c r="E154" s="27">
        <f>ПТО!G1</f>
        <v>0</v>
      </c>
    </row>
    <row r="155" spans="1:15" ht="34.5" customHeight="1">
      <c r="A155" s="142" t="s">
        <v>71</v>
      </c>
      <c r="B155" s="142"/>
      <c r="C155" s="142"/>
      <c r="D155" s="142"/>
      <c r="E155" s="28">
        <f>J13</f>
        <v>139195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18</v>
      </c>
      <c r="B157" s="143"/>
      <c r="C157" s="143"/>
      <c r="D157" s="143"/>
      <c r="E157" s="143"/>
      <c r="F157" s="143" t="s">
        <v>19</v>
      </c>
      <c r="G157" s="143"/>
      <c r="H157" s="20" t="s">
        <v>56</v>
      </c>
      <c r="I157" s="143" t="s">
        <v>20</v>
      </c>
      <c r="J157" s="143"/>
    </row>
    <row r="158" spans="1:15" ht="29.25" customHeight="1">
      <c r="A158" s="137" t="str">
        <f t="shared" ref="A158:A163" si="14">IF(N158&gt;0,N158,0)</f>
        <v>Монтаж охранной сигнализации в подвале.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13125.06</v>
      </c>
      <c r="G158" s="138"/>
      <c r="H158" s="24" t="str">
        <f t="shared" ref="H158:H187" si="16">VLOOKUP(A158,$A$28:$J$72,8,FALSE)</f>
        <v>разово</v>
      </c>
      <c r="I158" s="139">
        <f t="shared" ref="I158:I161" si="17">VLOOKUP(A158,$A$28:$J$72,9,FALSE)</f>
        <v>1</v>
      </c>
      <c r="J158" s="139"/>
      <c r="M158" s="22" t="s">
        <v>75</v>
      </c>
      <c r="N158" s="1" t="str">
        <f t="array" ref="N158:N187">INDEX($O$43:$O$72,SMALL(IF($M$158=R43:R72,ROW(O43:O72)-42,""),ROW()-157))</f>
        <v>Монтаж охранной сигнализации в подвале.</v>
      </c>
    </row>
    <row r="159" spans="1:15" ht="28.5" customHeight="1">
      <c r="A159" s="137" t="str">
        <f t="shared" si="14"/>
        <v>Техническое обслуживание охранной сигнализации.</v>
      </c>
      <c r="B159" s="137"/>
      <c r="C159" s="137"/>
      <c r="D159" s="137"/>
      <c r="E159" s="137"/>
      <c r="F159" s="138">
        <f t="shared" si="15"/>
        <v>4500</v>
      </c>
      <c r="G159" s="138"/>
      <c r="H159" s="24" t="str">
        <f t="shared" si="16"/>
        <v>ежемесячно</v>
      </c>
      <c r="I159" s="139">
        <f t="shared" si="17"/>
        <v>5</v>
      </c>
      <c r="J159" s="139"/>
      <c r="M159" s="22" t="s">
        <v>75</v>
      </c>
      <c r="N159" s="1" t="str">
        <v>Техническое обслуживание охранной сигнализации.</v>
      </c>
    </row>
    <row r="160" spans="1:15" ht="28.5" customHeight="1">
      <c r="A160" s="137" t="str">
        <f t="shared" si="14"/>
        <v>Изготовление и монтаж металлической двери выход на кровлю.</v>
      </c>
      <c r="B160" s="137"/>
      <c r="C160" s="137"/>
      <c r="D160" s="137"/>
      <c r="E160" s="137"/>
      <c r="F160" s="138">
        <f t="shared" si="15"/>
        <v>19560</v>
      </c>
      <c r="G160" s="138"/>
      <c r="H160" s="24" t="str">
        <f t="shared" si="16"/>
        <v>разово</v>
      </c>
      <c r="I160" s="139">
        <f t="shared" si="17"/>
        <v>1</v>
      </c>
      <c r="J160" s="139"/>
      <c r="M160" s="22" t="s">
        <v>75</v>
      </c>
      <c r="N160" s="1" t="str">
        <v>Изготовление и монтаж металлической двери выход на кровлю.</v>
      </c>
    </row>
    <row r="161" spans="1:14" ht="28.5" customHeight="1">
      <c r="A161" s="137" t="str">
        <f>IF(N161&gt;0,N161,0)</f>
        <v>Изготовление и монтаж металлической межэтажной двери.</v>
      </c>
      <c r="B161" s="137"/>
      <c r="C161" s="137"/>
      <c r="D161" s="137"/>
      <c r="E161" s="137"/>
      <c r="F161" s="138">
        <f t="shared" si="15"/>
        <v>11600</v>
      </c>
      <c r="G161" s="138"/>
      <c r="H161" s="24" t="str">
        <f t="shared" si="16"/>
        <v>разово</v>
      </c>
      <c r="I161" s="139">
        <f t="shared" si="17"/>
        <v>1</v>
      </c>
      <c r="J161" s="139"/>
      <c r="M161" s="22" t="s">
        <v>75</v>
      </c>
      <c r="N161" s="1" t="str">
        <v>Изготовление и монтаж металлической межэтажной двери.</v>
      </c>
    </row>
    <row r="162" spans="1:14" ht="28.5" customHeight="1">
      <c r="A162" s="137" t="str">
        <f t="shared" si="14"/>
        <v>Установка тамбурной двери.</v>
      </c>
      <c r="B162" s="137"/>
      <c r="C162" s="137"/>
      <c r="D162" s="137"/>
      <c r="E162" s="137"/>
      <c r="F162" s="138">
        <f t="shared" si="15"/>
        <v>31246.61</v>
      </c>
      <c r="G162" s="138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75</v>
      </c>
      <c r="N162" s="1" t="str">
        <v>Установка тамбурной двери.</v>
      </c>
    </row>
    <row r="163" spans="1:14" ht="28.5" customHeight="1">
      <c r="A163" s="137" t="str">
        <f t="shared" si="14"/>
        <v>Аварийное восстановление стояков отопления в подъезде.</v>
      </c>
      <c r="B163" s="137"/>
      <c r="C163" s="137"/>
      <c r="D163" s="137"/>
      <c r="E163" s="137"/>
      <c r="F163" s="138">
        <f t="shared" si="15"/>
        <v>129927.42</v>
      </c>
      <c r="G163" s="138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75</v>
      </c>
      <c r="N163" s="1" t="str">
        <v>Аварийное восстановление стояков отопления в подъезде.</v>
      </c>
    </row>
    <row r="164" spans="1:14" ht="28.5" customHeight="1">
      <c r="A164" s="137" t="str">
        <f t="shared" ref="A164:A187" si="18">IF(N164&gt;0,N164,0)</f>
        <v>Ремонт подъезда (1 этаж).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27720.01</v>
      </c>
      <c r="G164" s="138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75</v>
      </c>
      <c r="N164" s="1" t="str">
        <v>Ремонт подъезда (1 этаж).</v>
      </c>
    </row>
    <row r="165" spans="1:14" ht="28.5" customHeight="1">
      <c r="A165" s="137" t="str">
        <f t="shared" si="18"/>
        <v>Воздухоотводчики для стояков отопления в подъезде.</v>
      </c>
      <c r="B165" s="137"/>
      <c r="C165" s="137"/>
      <c r="D165" s="137"/>
      <c r="E165" s="137"/>
      <c r="F165" s="138">
        <f t="shared" si="19"/>
        <v>906</v>
      </c>
      <c r="G165" s="138"/>
      <c r="H165" s="29" t="str">
        <f t="shared" si="16"/>
        <v>разово</v>
      </c>
      <c r="I165" s="139">
        <f t="shared" si="20"/>
        <v>1</v>
      </c>
      <c r="J165" s="139"/>
      <c r="M165" s="22" t="s">
        <v>75</v>
      </c>
      <c r="N165" s="1" t="str">
        <v>Воздухоотводчики для стояков отопления в подъезде.</v>
      </c>
    </row>
    <row r="166" spans="1:14" ht="28.5" customHeight="1">
      <c r="A166" s="137" t="str">
        <f t="shared" si="18"/>
        <v>Ремонт системы видеонаблюдения.</v>
      </c>
      <c r="B166" s="137"/>
      <c r="C166" s="137"/>
      <c r="D166" s="137"/>
      <c r="E166" s="137"/>
      <c r="F166" s="138">
        <f t="shared" si="19"/>
        <v>2500</v>
      </c>
      <c r="G166" s="138"/>
      <c r="H166" s="29" t="str">
        <f t="shared" si="16"/>
        <v>разово</v>
      </c>
      <c r="I166" s="139">
        <f t="shared" si="20"/>
        <v>1</v>
      </c>
      <c r="J166" s="139"/>
      <c r="M166" s="22" t="s">
        <v>75</v>
      </c>
      <c r="N166" s="1" t="str">
        <v>Ремонт системы видеонаблюдения.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38">
        <f t="shared" si="19"/>
        <v>0</v>
      </c>
      <c r="G167" s="138"/>
      <c r="H167" s="29" t="e">
        <f t="shared" si="16"/>
        <v>#N/A</v>
      </c>
      <c r="I167" s="139" t="e">
        <f t="shared" si="20"/>
        <v>#N/A</v>
      </c>
      <c r="J167" s="139"/>
      <c r="M167" s="22" t="s">
        <v>75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38">
        <f t="shared" si="19"/>
        <v>0</v>
      </c>
      <c r="G168" s="138"/>
      <c r="H168" s="29" t="e">
        <f t="shared" si="16"/>
        <v>#N/A</v>
      </c>
      <c r="I168" s="139" t="e">
        <f t="shared" si="20"/>
        <v>#N/A</v>
      </c>
      <c r="J168" s="139"/>
      <c r="M168" s="22" t="s">
        <v>75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38">
        <f t="shared" si="19"/>
        <v>0</v>
      </c>
      <c r="G169" s="138"/>
      <c r="H169" s="29" t="e">
        <f t="shared" si="16"/>
        <v>#N/A</v>
      </c>
      <c r="I169" s="139" t="e">
        <f t="shared" si="20"/>
        <v>#N/A</v>
      </c>
      <c r="J169" s="139"/>
      <c r="M169" s="22" t="s">
        <v>75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38">
        <f t="shared" si="19"/>
        <v>0</v>
      </c>
      <c r="G170" s="138"/>
      <c r="H170" s="29" t="e">
        <f t="shared" si="16"/>
        <v>#N/A</v>
      </c>
      <c r="I170" s="139" t="e">
        <f t="shared" si="20"/>
        <v>#N/A</v>
      </c>
      <c r="J170" s="139"/>
      <c r="M170" s="22" t="s">
        <v>75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38">
        <f t="shared" si="19"/>
        <v>0</v>
      </c>
      <c r="G171" s="138"/>
      <c r="H171" s="29" t="e">
        <f t="shared" si="16"/>
        <v>#N/A</v>
      </c>
      <c r="I171" s="139" t="e">
        <f t="shared" si="20"/>
        <v>#N/A</v>
      </c>
      <c r="J171" s="139"/>
      <c r="M171" s="22" t="s">
        <v>75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38">
        <f t="shared" si="19"/>
        <v>0</v>
      </c>
      <c r="G172" s="138"/>
      <c r="H172" s="29" t="e">
        <f t="shared" si="16"/>
        <v>#N/A</v>
      </c>
      <c r="I172" s="139" t="e">
        <f t="shared" si="20"/>
        <v>#N/A</v>
      </c>
      <c r="J172" s="139"/>
      <c r="M172" s="22" t="s">
        <v>75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38">
        <f t="shared" si="19"/>
        <v>0</v>
      </c>
      <c r="G173" s="138"/>
      <c r="H173" s="29" t="e">
        <f t="shared" si="16"/>
        <v>#N/A</v>
      </c>
      <c r="I173" s="139" t="e">
        <f t="shared" si="20"/>
        <v>#N/A</v>
      </c>
      <c r="J173" s="139"/>
      <c r="M173" s="22" t="s">
        <v>75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38">
        <f t="shared" si="19"/>
        <v>0</v>
      </c>
      <c r="G174" s="138"/>
      <c r="H174" s="29" t="e">
        <f t="shared" si="16"/>
        <v>#N/A</v>
      </c>
      <c r="I174" s="139" t="e">
        <f t="shared" si="20"/>
        <v>#N/A</v>
      </c>
      <c r="J174" s="139"/>
      <c r="M174" s="22" t="s">
        <v>75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75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75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75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75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75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75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75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75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75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75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75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75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75</v>
      </c>
      <c r="N187" s="1">
        <v>0</v>
      </c>
    </row>
    <row r="188" spans="1:14" ht="29.25" customHeight="1">
      <c r="A188" s="105" t="s">
        <v>178</v>
      </c>
    </row>
    <row r="189" spans="1:14" ht="29.25" customHeight="1">
      <c r="A189" s="105" t="s">
        <v>178</v>
      </c>
    </row>
    <row r="190" spans="1:14" ht="36.75" customHeight="1">
      <c r="A190" s="140" t="s">
        <v>72</v>
      </c>
      <c r="B190" s="140"/>
      <c r="C190" s="140"/>
      <c r="D190" s="140"/>
      <c r="E190" s="27">
        <f>SUM(F158:G187)</f>
        <v>241085.1</v>
      </c>
    </row>
    <row r="191" spans="1:14" ht="51.75" customHeight="1">
      <c r="A191" s="140" t="s">
        <v>73</v>
      </c>
      <c r="B191" s="140"/>
      <c r="C191" s="140"/>
      <c r="D191" s="140"/>
      <c r="E191" s="27">
        <f>E190+E154-E155</f>
        <v>101890.1</v>
      </c>
    </row>
    <row r="192" spans="1:14">
      <c r="A192" s="105" t="s">
        <v>178</v>
      </c>
    </row>
    <row r="193" spans="1:10" ht="62.25" customHeight="1">
      <c r="A193" s="165" t="s">
        <v>76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50">
        <f>ПТО!G12</f>
        <v>1200</v>
      </c>
      <c r="I194" s="51" t="s">
        <v>78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50">
        <f>ПТО!G13</f>
        <v>16200</v>
      </c>
      <c r="I195" s="51" t="s">
        <v>78</v>
      </c>
    </row>
    <row r="196" spans="1:10" ht="18.75" customHeight="1">
      <c r="A196" s="164" t="str">
        <f>ПТО!F14</f>
        <v xml:space="preserve">  -  техническое обслуживание охранной сигнализации</v>
      </c>
      <c r="B196" s="164"/>
      <c r="C196" s="164"/>
      <c r="D196" s="164"/>
      <c r="E196" s="164"/>
      <c r="F196" s="164"/>
      <c r="G196" s="164"/>
      <c r="H196" s="50">
        <f>ПТО!G14</f>
        <v>10800</v>
      </c>
      <c r="I196" s="51" t="s">
        <v>78</v>
      </c>
    </row>
    <row r="197" spans="1:10" ht="18.75" customHeight="1">
      <c r="A197" s="164" t="str">
        <f>ПТО!F15</f>
        <v xml:space="preserve">  -  чистка теплообменников ГВС и отопления</v>
      </c>
      <c r="B197" s="164"/>
      <c r="C197" s="164"/>
      <c r="D197" s="164"/>
      <c r="E197" s="164"/>
      <c r="F197" s="164"/>
      <c r="G197" s="164"/>
      <c r="H197" s="50">
        <f>ПТО!G15</f>
        <v>20000</v>
      </c>
      <c r="I197" s="51" t="s">
        <v>78</v>
      </c>
    </row>
    <row r="198" spans="1:10" ht="18.75" customHeight="1">
      <c r="A198" s="164" t="str">
        <f>ПТО!F16</f>
        <v xml:space="preserve">  -  благоустройство придомовой территории (покраска малых форм, разлиновка парковочных мест)</v>
      </c>
      <c r="B198" s="164"/>
      <c r="C198" s="164"/>
      <c r="D198" s="164"/>
      <c r="E198" s="164"/>
      <c r="F198" s="164"/>
      <c r="G198" s="164"/>
      <c r="H198" s="50">
        <f>ПТО!G16</f>
        <v>10000</v>
      </c>
      <c r="I198" s="53" t="s">
        <v>78</v>
      </c>
    </row>
    <row r="199" spans="1:10" ht="18.75" customHeight="1">
      <c r="A199" s="164" t="str">
        <f>ПТО!F17</f>
        <v xml:space="preserve">  -  непредвиденные затраты на ремонт шлагбаума</v>
      </c>
      <c r="B199" s="164"/>
      <c r="C199" s="164"/>
      <c r="D199" s="164"/>
      <c r="E199" s="164"/>
      <c r="F199" s="164"/>
      <c r="G199" s="164"/>
      <c r="H199" s="50">
        <f>ПТО!G17</f>
        <v>4000</v>
      </c>
      <c r="I199" s="51" t="s">
        <v>78</v>
      </c>
    </row>
    <row r="200" spans="1:10">
      <c r="A200" s="164" t="str">
        <f>ПТО!F18</f>
        <v xml:space="preserve">  -  работы по выбору (решению) общего собрания или совета дома</v>
      </c>
      <c r="B200" s="164"/>
      <c r="C200" s="164"/>
      <c r="D200" s="164"/>
      <c r="E200" s="164"/>
      <c r="F200" s="164"/>
      <c r="G200" s="164"/>
      <c r="H200" s="50">
        <f>ПТО!G18</f>
        <v>74000</v>
      </c>
      <c r="I200" s="51" t="s">
        <v>78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50">
        <f>ПТО!G19</f>
        <v>0</v>
      </c>
      <c r="I201" s="51" t="s">
        <v>78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50">
        <f>ПТО!G20</f>
        <v>0</v>
      </c>
      <c r="I202" s="51" t="s">
        <v>78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50">
        <f>ПТО!G21</f>
        <v>0</v>
      </c>
      <c r="I203" s="51" t="s">
        <v>78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50">
        <f>ПТО!G22</f>
        <v>0</v>
      </c>
      <c r="I204" s="51" t="s">
        <v>78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50">
        <f>ПТО!G23</f>
        <v>0</v>
      </c>
      <c r="I205" s="51" t="s">
        <v>78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50">
        <f>ПТО!G24</f>
        <v>0</v>
      </c>
      <c r="I206" s="51" t="s">
        <v>78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50">
        <f>ПТО!G25</f>
        <v>0</v>
      </c>
      <c r="I207" s="51" t="s">
        <v>78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50">
        <f>ПТО!G26</f>
        <v>0</v>
      </c>
      <c r="I208" s="51" t="s">
        <v>78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50">
        <f>ПТО!G27</f>
        <v>0</v>
      </c>
      <c r="I209" s="51" t="s">
        <v>78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50">
        <f>ПТО!G28</f>
        <v>0</v>
      </c>
      <c r="I210" s="51" t="s">
        <v>78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50">
        <f>ПТО!G29</f>
        <v>0</v>
      </c>
      <c r="I211" s="51" t="s">
        <v>78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50">
        <f>ПТО!G30</f>
        <v>0</v>
      </c>
      <c r="I212" s="51" t="s">
        <v>78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50">
        <f>ПТО!G31</f>
        <v>0</v>
      </c>
      <c r="I213" s="51" t="s">
        <v>78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136200</v>
      </c>
      <c r="I214" s="57" t="s">
        <v>81</v>
      </c>
    </row>
  </sheetData>
  <sheetProtection algorithmName="SHA-512" hashValue="xS0lJoMBIt8Ai8DT2+JkfkXcWj60v3hzzF6fnRuuy+qq19vn5bL0u95/ehwYfa0paVCzLH8NMuj+ucGCG7uD4w==" saltValue="IrO5FbEbU+Ak3qvkzXGSR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B39" sqref="B39:B4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70</v>
      </c>
      <c r="G1" s="102">
        <f>0</f>
        <v>0</v>
      </c>
    </row>
    <row r="2" spans="1:12" ht="18.75" customHeight="1">
      <c r="A2" s="136" t="s">
        <v>208</v>
      </c>
      <c r="B2" s="121" t="s">
        <v>185</v>
      </c>
      <c r="C2" s="121">
        <v>1</v>
      </c>
      <c r="D2" s="122">
        <v>13125.06</v>
      </c>
      <c r="E2" s="118" t="s">
        <v>190</v>
      </c>
      <c r="F2" s="30"/>
      <c r="G2" s="32"/>
      <c r="L2" s="33" t="str">
        <f t="shared" ref="L2:L22" si="0">IF(A2&gt;0,"ТР",0)</f>
        <v>ТР</v>
      </c>
    </row>
    <row r="3" spans="1:12" ht="18.75" customHeight="1">
      <c r="A3" s="128" t="s">
        <v>201</v>
      </c>
      <c r="B3" s="131" t="s">
        <v>202</v>
      </c>
      <c r="C3" s="130">
        <v>5</v>
      </c>
      <c r="D3" s="129">
        <f>900*5</f>
        <v>4500</v>
      </c>
      <c r="E3" s="118" t="s">
        <v>203</v>
      </c>
      <c r="F3" s="30"/>
      <c r="G3" s="30"/>
      <c r="L3" s="33" t="str">
        <f t="shared" si="0"/>
        <v>ТР</v>
      </c>
    </row>
    <row r="4" spans="1:12" ht="18.75" customHeight="1">
      <c r="A4" s="120" t="s">
        <v>182</v>
      </c>
      <c r="B4" s="123" t="s">
        <v>185</v>
      </c>
      <c r="C4" s="123">
        <v>1</v>
      </c>
      <c r="D4" s="122">
        <v>19560</v>
      </c>
      <c r="E4" s="118" t="s">
        <v>191</v>
      </c>
      <c r="F4" s="46"/>
      <c r="G4" s="30"/>
      <c r="L4" s="33" t="str">
        <f t="shared" si="0"/>
        <v>ТР</v>
      </c>
    </row>
    <row r="5" spans="1:12" ht="18.75" customHeight="1">
      <c r="A5" s="120" t="s">
        <v>183</v>
      </c>
      <c r="B5" s="123" t="s">
        <v>185</v>
      </c>
      <c r="C5" s="123">
        <v>1</v>
      </c>
      <c r="D5" s="122">
        <v>11600</v>
      </c>
      <c r="E5" s="118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120" t="s">
        <v>184</v>
      </c>
      <c r="B6" s="121" t="s">
        <v>185</v>
      </c>
      <c r="C6" s="121">
        <v>1</v>
      </c>
      <c r="D6" s="122">
        <v>31246.61</v>
      </c>
      <c r="E6" s="118" t="s">
        <v>193</v>
      </c>
      <c r="F6" s="46"/>
      <c r="G6" s="46"/>
      <c r="K6" s="48"/>
      <c r="L6" s="33" t="str">
        <f t="shared" si="0"/>
        <v>ТР</v>
      </c>
    </row>
    <row r="7" spans="1:12" ht="18.75" customHeight="1">
      <c r="A7" s="120" t="s">
        <v>189</v>
      </c>
      <c r="B7" s="121" t="s">
        <v>185</v>
      </c>
      <c r="C7" s="121">
        <v>1</v>
      </c>
      <c r="D7" s="122">
        <v>129927.42</v>
      </c>
      <c r="E7" s="119" t="s">
        <v>194</v>
      </c>
      <c r="F7" s="47"/>
      <c r="G7" s="47"/>
      <c r="K7" s="48"/>
      <c r="L7" s="33" t="str">
        <f t="shared" si="0"/>
        <v>ТР</v>
      </c>
    </row>
    <row r="8" spans="1:12" ht="18.75" customHeight="1">
      <c r="A8" s="124" t="s">
        <v>195</v>
      </c>
      <c r="B8" s="125" t="s">
        <v>185</v>
      </c>
      <c r="C8" s="45">
        <v>1</v>
      </c>
      <c r="D8" s="48">
        <v>27720.01</v>
      </c>
      <c r="E8" s="124" t="s">
        <v>196</v>
      </c>
      <c r="F8" s="47"/>
      <c r="G8" s="47"/>
      <c r="K8" s="44"/>
      <c r="L8" s="33" t="str">
        <f t="shared" si="0"/>
        <v>ТР</v>
      </c>
    </row>
    <row r="9" spans="1:12">
      <c r="A9" s="126" t="s">
        <v>197</v>
      </c>
      <c r="B9" s="127" t="s">
        <v>185</v>
      </c>
      <c r="C9" s="43">
        <v>1</v>
      </c>
      <c r="D9" s="44">
        <v>906</v>
      </c>
      <c r="E9" s="126" t="s">
        <v>199</v>
      </c>
      <c r="F9" s="46"/>
      <c r="G9" s="46"/>
      <c r="K9" s="44"/>
      <c r="L9" s="33" t="str">
        <f t="shared" si="0"/>
        <v>ТР</v>
      </c>
    </row>
    <row r="10" spans="1:12">
      <c r="A10" s="46" t="s">
        <v>198</v>
      </c>
      <c r="B10" s="127" t="s">
        <v>185</v>
      </c>
      <c r="C10" s="43">
        <v>1</v>
      </c>
      <c r="D10" s="44">
        <v>2500</v>
      </c>
      <c r="E10" s="118" t="s">
        <v>200</v>
      </c>
      <c r="L10" s="33" t="str">
        <f t="shared" si="0"/>
        <v>ТР</v>
      </c>
    </row>
    <row r="11" spans="1:12" ht="94.5">
      <c r="A11" s="30"/>
      <c r="F11" s="112" t="s">
        <v>76</v>
      </c>
      <c r="G11" s="112"/>
      <c r="L11" s="33">
        <f t="shared" si="0"/>
        <v>0</v>
      </c>
    </row>
    <row r="12" spans="1:12" ht="31.5">
      <c r="A12" s="30"/>
      <c r="F12" s="132" t="s">
        <v>77</v>
      </c>
      <c r="G12" s="133">
        <v>1200</v>
      </c>
      <c r="L12" s="33">
        <f t="shared" si="0"/>
        <v>0</v>
      </c>
    </row>
    <row r="13" spans="1:12" ht="31.5">
      <c r="A13" s="30"/>
      <c r="F13" s="132" t="s">
        <v>79</v>
      </c>
      <c r="G13" s="133">
        <v>16200</v>
      </c>
      <c r="L13" s="33">
        <f t="shared" si="0"/>
        <v>0</v>
      </c>
    </row>
    <row r="14" spans="1:12" ht="31.5">
      <c r="A14" s="30"/>
      <c r="F14" s="132" t="s">
        <v>204</v>
      </c>
      <c r="G14" s="133">
        <v>10800</v>
      </c>
      <c r="L14" s="33">
        <f t="shared" si="0"/>
        <v>0</v>
      </c>
    </row>
    <row r="15" spans="1:12" ht="31.5">
      <c r="A15" s="30"/>
      <c r="F15" s="132" t="s">
        <v>209</v>
      </c>
      <c r="G15" s="133">
        <v>20000</v>
      </c>
      <c r="L15" s="33">
        <f t="shared" si="0"/>
        <v>0</v>
      </c>
    </row>
    <row r="16" spans="1:12" ht="47.25">
      <c r="A16" s="30"/>
      <c r="F16" s="132" t="s">
        <v>210</v>
      </c>
      <c r="G16" s="113">
        <v>10000</v>
      </c>
      <c r="L16" s="33">
        <f t="shared" si="0"/>
        <v>0</v>
      </c>
    </row>
    <row r="17" spans="1:12" ht="31.5">
      <c r="A17" s="30"/>
      <c r="F17" s="132" t="s">
        <v>206</v>
      </c>
      <c r="G17" s="133">
        <v>4000</v>
      </c>
      <c r="L17" s="33">
        <f t="shared" si="0"/>
        <v>0</v>
      </c>
    </row>
    <row r="18" spans="1:12" ht="31.5">
      <c r="A18" s="30"/>
      <c r="F18" s="134" t="s">
        <v>207</v>
      </c>
      <c r="G18" s="135">
        <v>74000</v>
      </c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95485.39</v>
      </c>
      <c r="C39" s="38" t="s">
        <v>67</v>
      </c>
      <c r="D39" s="39">
        <v>7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95485.39</v>
      </c>
      <c r="O39" s="41" t="str">
        <f>C39</f>
        <v>Ежемесячно</v>
      </c>
      <c r="P39">
        <f>D39</f>
        <v>7</v>
      </c>
    </row>
    <row r="40" spans="1:16" ht="31.5" customHeight="1">
      <c r="A40" s="37" t="s">
        <v>179</v>
      </c>
      <c r="B40" s="38">
        <v>50108.94</v>
      </c>
      <c r="C40" s="38" t="s">
        <v>67</v>
      </c>
      <c r="D40" s="39">
        <v>7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50108.94</v>
      </c>
      <c r="O40" s="41" t="str">
        <f t="shared" ref="O40:O53" si="5">C40</f>
        <v>Ежемесячно</v>
      </c>
      <c r="P40">
        <f t="shared" ref="P40:P53" si="6">D40</f>
        <v>7</v>
      </c>
    </row>
    <row r="41" spans="1:16" ht="51">
      <c r="A41" s="37" t="s">
        <v>25</v>
      </c>
      <c r="B41" s="38">
        <v>57068.55</v>
      </c>
      <c r="C41" s="38" t="s">
        <v>68</v>
      </c>
      <c r="D41" s="39">
        <v>7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57068.55</v>
      </c>
      <c r="O41" s="41" t="str">
        <f t="shared" si="5"/>
        <v>В соответствии с графиком</v>
      </c>
      <c r="P41">
        <f t="shared" si="6"/>
        <v>7</v>
      </c>
    </row>
    <row r="42" spans="1:16" ht="25.5">
      <c r="A42" s="37" t="s">
        <v>22</v>
      </c>
      <c r="B42" s="38">
        <v>32849.18</v>
      </c>
      <c r="C42" s="38" t="s">
        <v>67</v>
      </c>
      <c r="D42" s="39">
        <v>7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32849.18</v>
      </c>
      <c r="O42" s="41" t="str">
        <f t="shared" si="5"/>
        <v>Ежемесячно</v>
      </c>
      <c r="P42">
        <f t="shared" si="6"/>
        <v>7</v>
      </c>
    </row>
    <row r="43" spans="1:16" ht="15.75">
      <c r="A43" s="37"/>
      <c r="B43" s="38"/>
      <c r="C43" s="38"/>
      <c r="D43" s="39">
        <v>7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7</v>
      </c>
    </row>
    <row r="44" spans="1:16" ht="25.5">
      <c r="A44" s="37" t="s">
        <v>23</v>
      </c>
      <c r="B44" s="38">
        <v>13919.15</v>
      </c>
      <c r="C44" s="38" t="s">
        <v>69</v>
      </c>
      <c r="D44" s="39">
        <v>7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13919.15</v>
      </c>
      <c r="O44" s="41" t="str">
        <f t="shared" si="5"/>
        <v>Круглосуточно</v>
      </c>
      <c r="P44">
        <f t="shared" si="6"/>
        <v>7</v>
      </c>
    </row>
    <row r="45" spans="1:16" ht="25.5">
      <c r="A45" s="37" t="s">
        <v>24</v>
      </c>
      <c r="B45" s="38">
        <v>57068.55</v>
      </c>
      <c r="C45" s="38" t="s">
        <v>68</v>
      </c>
      <c r="D45" s="39">
        <v>7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57068.55</v>
      </c>
      <c r="O45" s="41" t="str">
        <f t="shared" si="5"/>
        <v>В соответствии с графиком</v>
      </c>
      <c r="P45">
        <f t="shared" si="6"/>
        <v>7</v>
      </c>
    </row>
    <row r="46" spans="1:16">
      <c r="A46" s="37" t="s">
        <v>180</v>
      </c>
      <c r="B46" s="38">
        <v>29230.25</v>
      </c>
      <c r="C46" s="38" t="s">
        <v>67</v>
      </c>
      <c r="D46" s="39">
        <v>7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29230.25</v>
      </c>
      <c r="O46" s="41" t="str">
        <f t="shared" si="5"/>
        <v>Ежемесячно</v>
      </c>
      <c r="P46">
        <f t="shared" si="6"/>
        <v>7</v>
      </c>
    </row>
    <row r="47" spans="1:16">
      <c r="A47" s="37" t="s">
        <v>211</v>
      </c>
      <c r="B47" s="31">
        <v>139191.5</v>
      </c>
      <c r="C47" s="38" t="s">
        <v>67</v>
      </c>
      <c r="D47" s="39">
        <v>7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139191.5</v>
      </c>
      <c r="O47" s="41" t="str">
        <f t="shared" si="5"/>
        <v>Ежемесячно</v>
      </c>
      <c r="P47">
        <f t="shared" si="6"/>
        <v>7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W5lNHve2p59LYKXLVBYRnsp4ChHmXjQ/ym4lvF5hVXs5sJc3h8T4gs/ZpOqN7CnCaw6MBobxlPmaoSq9htmUVg==" saltValue="THQxqUQLms/24VQ9FnV36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B39" sqref="B39:B46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188</v>
      </c>
      <c r="F1" s="61">
        <v>3977</v>
      </c>
    </row>
    <row r="2" spans="1:10" ht="15.75" customHeight="1">
      <c r="A2" s="71" t="s">
        <v>86</v>
      </c>
      <c r="B2" s="73" t="s">
        <v>1</v>
      </c>
      <c r="C2" s="84">
        <v>0</v>
      </c>
      <c r="D2" s="82" t="s">
        <v>57</v>
      </c>
      <c r="E2" s="117" t="s">
        <v>186</v>
      </c>
      <c r="F2" s="117" t="s">
        <v>187</v>
      </c>
      <c r="G2" s="62"/>
      <c r="H2" s="62"/>
      <c r="I2" s="62"/>
      <c r="J2" s="62"/>
    </row>
    <row r="3" spans="1:10" ht="15.75" customHeight="1">
      <c r="A3" s="71" t="s">
        <v>87</v>
      </c>
      <c r="B3" s="73" t="s">
        <v>2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88</v>
      </c>
      <c r="B4" s="73" t="s">
        <v>3</v>
      </c>
      <c r="C4" s="84">
        <v>0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89</v>
      </c>
      <c r="B5" s="73" t="s">
        <v>4</v>
      </c>
      <c r="C5" s="80">
        <f>SUM(C6:C8)</f>
        <v>615688.49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90</v>
      </c>
      <c r="B6" s="73" t="s">
        <v>5</v>
      </c>
      <c r="C6" s="84">
        <v>336859.18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91</v>
      </c>
      <c r="B7" s="73" t="s">
        <v>6</v>
      </c>
      <c r="C7" s="84">
        <f>F1*5*7</f>
        <v>139195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92</v>
      </c>
      <c r="B8" s="73" t="s">
        <v>7</v>
      </c>
      <c r="C8" s="84">
        <v>139634.31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93</v>
      </c>
      <c r="B9" s="73" t="s">
        <v>8</v>
      </c>
      <c r="C9" s="80">
        <f>SUM(C10:C14)</f>
        <v>91541.23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94</v>
      </c>
      <c r="B10" s="73" t="s">
        <v>9</v>
      </c>
      <c r="C10" s="84">
        <v>91541.23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95</v>
      </c>
      <c r="B11" s="73" t="s">
        <v>10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96</v>
      </c>
      <c r="B12" s="73" t="s">
        <v>11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97</v>
      </c>
      <c r="B13" s="73" t="s">
        <v>12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98</v>
      </c>
      <c r="B14" s="73" t="s">
        <v>13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99</v>
      </c>
      <c r="B15" s="73" t="s">
        <v>14</v>
      </c>
      <c r="C15" s="80">
        <f>C9</f>
        <v>91541.23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100</v>
      </c>
      <c r="B16" s="73" t="s">
        <v>15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16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17</v>
      </c>
      <c r="C18" s="80">
        <f>IF(C16&gt;0,0,IF(C4&gt;0,C4+C5-C9,C5-C2-C9))</f>
        <v>524147.26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68"/>
      <c r="N20" s="63"/>
    </row>
    <row r="21" spans="1:15" ht="15.75" customHeight="1">
      <c r="A21" s="71" t="s">
        <v>104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68"/>
      <c r="N21" s="63"/>
    </row>
    <row r="22" spans="1:15" ht="15.75" customHeight="1">
      <c r="A22" s="71" t="s">
        <v>105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68"/>
      <c r="N22" s="63"/>
    </row>
    <row r="23" spans="1:15" ht="15.75" customHeight="1">
      <c r="A23" s="71" t="s">
        <v>106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68"/>
      <c r="N23" s="63"/>
    </row>
    <row r="24" spans="1:15" ht="18.75">
      <c r="A24" s="74" t="s">
        <v>166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1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67"/>
      <c r="N25" s="64"/>
    </row>
    <row r="26" spans="1:15" ht="18.75" customHeight="1">
      <c r="A26" s="71" t="s">
        <v>108</v>
      </c>
      <c r="B26" s="76" t="s">
        <v>2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67"/>
      <c r="N26" s="64"/>
    </row>
    <row r="27" spans="1:15" ht="18.75" customHeight="1">
      <c r="A27" s="71" t="s">
        <v>109</v>
      </c>
      <c r="B27" s="76" t="s">
        <v>3</v>
      </c>
      <c r="C27" s="87">
        <v>0</v>
      </c>
      <c r="D27" s="82" t="s">
        <v>59</v>
      </c>
      <c r="E27" s="65"/>
      <c r="F27" s="65"/>
      <c r="G27" s="65"/>
      <c r="H27" s="65"/>
      <c r="I27" s="65"/>
      <c r="J27" s="65"/>
      <c r="M27" s="167"/>
      <c r="N27" s="64"/>
    </row>
    <row r="28" spans="1:15" ht="18.75" customHeight="1">
      <c r="A28" s="71" t="s">
        <v>110</v>
      </c>
      <c r="B28" s="76" t="s">
        <v>15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67"/>
      <c r="N28" s="64"/>
    </row>
    <row r="29" spans="1:15" ht="18.75" customHeight="1">
      <c r="A29" s="71" t="s">
        <v>111</v>
      </c>
      <c r="B29" s="76" t="s">
        <v>16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67"/>
      <c r="N29" s="64"/>
    </row>
    <row r="30" spans="1:15" ht="18.75" customHeight="1">
      <c r="A30" s="71" t="s">
        <v>112</v>
      </c>
      <c r="B30" s="76" t="s">
        <v>17</v>
      </c>
      <c r="C30" s="87">
        <v>63737.38</v>
      </c>
      <c r="D30" s="82" t="s">
        <v>65</v>
      </c>
      <c r="E30" s="65"/>
      <c r="F30" s="65"/>
      <c r="G30" s="65"/>
      <c r="H30" s="65"/>
      <c r="I30" s="65"/>
      <c r="J30" s="65"/>
      <c r="M30" s="167"/>
      <c r="N30" s="64"/>
    </row>
    <row r="31" spans="1:15" ht="18.75" customHeight="1">
      <c r="A31" s="71" t="s">
        <v>113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67"/>
      <c r="N31" s="64"/>
    </row>
    <row r="32" spans="1:15" ht="18.75" customHeight="1">
      <c r="A32" s="71" t="s">
        <v>114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67"/>
      <c r="N32" s="64"/>
    </row>
    <row r="33" spans="1:15" ht="18.75" customHeight="1">
      <c r="A33" s="71" t="s">
        <v>115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67"/>
      <c r="N33" s="64"/>
    </row>
    <row r="34" spans="1:15" ht="18.75" customHeight="1">
      <c r="A34" s="71" t="s">
        <v>116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67"/>
      <c r="N34" s="64"/>
    </row>
    <row r="35" spans="1:15" ht="18.75">
      <c r="A35" s="74" t="s">
        <v>167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47431.05</v>
      </c>
      <c r="F37" s="95" t="s">
        <v>171</v>
      </c>
      <c r="G37" s="67"/>
      <c r="H37" s="67"/>
      <c r="I37" s="67"/>
      <c r="L37" s="64"/>
      <c r="M37" s="166"/>
      <c r="N37" s="64"/>
      <c r="O37" s="64"/>
    </row>
    <row r="38" spans="1:15" ht="18.75" customHeight="1">
      <c r="A38" s="71" t="s">
        <v>117</v>
      </c>
      <c r="B38" s="79" t="s">
        <v>36</v>
      </c>
      <c r="C38" s="91">
        <v>43316.03</v>
      </c>
      <c r="D38" s="95" t="s">
        <v>169</v>
      </c>
      <c r="E38" s="69"/>
      <c r="G38" s="68"/>
      <c r="H38" s="68"/>
      <c r="L38" s="64"/>
      <c r="M38" s="166"/>
      <c r="N38" s="64"/>
      <c r="O38" s="64"/>
    </row>
    <row r="39" spans="1:15" ht="18.75" customHeight="1">
      <c r="A39" s="71" t="s">
        <v>118</v>
      </c>
      <c r="B39" s="79" t="s">
        <v>37</v>
      </c>
      <c r="C39" s="92">
        <v>27531.05</v>
      </c>
      <c r="D39" s="95" t="s">
        <v>170</v>
      </c>
      <c r="E39" s="69"/>
      <c r="G39" s="68"/>
      <c r="H39" s="68"/>
      <c r="L39" s="64"/>
      <c r="M39" s="166"/>
      <c r="N39" s="64"/>
      <c r="O39" s="64"/>
    </row>
    <row r="40" spans="1:15" ht="18.75" customHeight="1">
      <c r="A40" s="71" t="s">
        <v>119</v>
      </c>
      <c r="B40" s="79" t="s">
        <v>38</v>
      </c>
      <c r="C40" s="94">
        <f>IF(E37-C39&lt;0,0,E37-C39)</f>
        <v>19900.000000000004</v>
      </c>
      <c r="D40" s="81" t="s">
        <v>58</v>
      </c>
      <c r="E40" s="69"/>
      <c r="G40" s="68"/>
      <c r="H40" s="68"/>
      <c r="L40" s="64"/>
      <c r="M40" s="166"/>
      <c r="N40" s="64"/>
      <c r="O40" s="64"/>
    </row>
    <row r="41" spans="1:15" ht="18.75" customHeight="1">
      <c r="A41" s="71" t="s">
        <v>120</v>
      </c>
      <c r="B41" s="79" t="s">
        <v>39</v>
      </c>
      <c r="C41" s="94">
        <f>E37</f>
        <v>47431.05</v>
      </c>
      <c r="D41" s="81" t="s">
        <v>58</v>
      </c>
      <c r="E41" s="69"/>
      <c r="G41" s="68"/>
      <c r="H41" s="68"/>
      <c r="L41" s="64"/>
      <c r="M41" s="166"/>
      <c r="N41" s="64"/>
      <c r="O41" s="64"/>
    </row>
    <row r="42" spans="1:15" ht="18.75" customHeight="1">
      <c r="A42" s="71" t="s">
        <v>121</v>
      </c>
      <c r="B42" s="79" t="s">
        <v>40</v>
      </c>
      <c r="C42" s="94">
        <f>E37</f>
        <v>47431.05</v>
      </c>
      <c r="D42" s="81" t="s">
        <v>58</v>
      </c>
      <c r="E42" s="69"/>
      <c r="G42" s="68"/>
      <c r="H42" s="68"/>
      <c r="L42" s="64"/>
      <c r="M42" s="166"/>
      <c r="N42" s="64"/>
      <c r="O42" s="64"/>
    </row>
    <row r="43" spans="1:15" ht="18.75" customHeight="1">
      <c r="A43" s="71" t="s">
        <v>122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66"/>
      <c r="N43" s="64"/>
      <c r="O43" s="64"/>
    </row>
    <row r="44" spans="1:15" ht="30" customHeight="1">
      <c r="A44" s="71" t="s">
        <v>123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66"/>
      <c r="N44" s="64"/>
      <c r="O44" s="64"/>
    </row>
    <row r="45" spans="1:15" ht="18.75">
      <c r="A45" s="74" t="s">
        <v>125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22201.119999999999</v>
      </c>
      <c r="F45" s="95" t="s">
        <v>171</v>
      </c>
      <c r="G45" s="67"/>
      <c r="H45" s="67"/>
      <c r="L45" s="64"/>
      <c r="M45" s="166"/>
      <c r="N45" s="64"/>
      <c r="O45" s="64"/>
    </row>
    <row r="46" spans="1:15" ht="18.75" customHeight="1">
      <c r="A46" s="74" t="s">
        <v>126</v>
      </c>
      <c r="B46" s="79" t="s">
        <v>36</v>
      </c>
      <c r="C46" s="91">
        <v>1594.34</v>
      </c>
      <c r="D46" s="95" t="s">
        <v>172</v>
      </c>
      <c r="E46" s="69"/>
      <c r="G46" s="68"/>
      <c r="H46" s="68"/>
      <c r="L46" s="64"/>
      <c r="M46" s="166"/>
      <c r="N46" s="64"/>
      <c r="O46" s="64"/>
    </row>
    <row r="47" spans="1:15" ht="18.75" customHeight="1">
      <c r="A47" s="74" t="s">
        <v>127</v>
      </c>
      <c r="B47" s="79" t="s">
        <v>37</v>
      </c>
      <c r="C47" s="92">
        <v>18230.830000000002</v>
      </c>
      <c r="D47" s="95" t="s">
        <v>170</v>
      </c>
      <c r="E47" s="69"/>
      <c r="G47" s="68"/>
      <c r="H47" s="68"/>
      <c r="L47" s="64"/>
      <c r="M47" s="166"/>
      <c r="N47" s="64"/>
      <c r="O47" s="64"/>
    </row>
    <row r="48" spans="1:15" ht="18.75" customHeight="1">
      <c r="A48" s="74" t="s">
        <v>128</v>
      </c>
      <c r="B48" s="79" t="s">
        <v>38</v>
      </c>
      <c r="C48" s="94">
        <f>IF(E45-C47&lt;0,0,E45-C47)</f>
        <v>3970.2899999999972</v>
      </c>
      <c r="D48" s="81" t="s">
        <v>58</v>
      </c>
      <c r="E48" s="69"/>
      <c r="G48" s="68"/>
      <c r="H48" s="68"/>
      <c r="L48" s="64"/>
      <c r="M48" s="166"/>
      <c r="N48" s="64"/>
      <c r="O48" s="64"/>
    </row>
    <row r="49" spans="1:15" ht="18.75" customHeight="1">
      <c r="A49" s="74" t="s">
        <v>129</v>
      </c>
      <c r="B49" s="79" t="s">
        <v>39</v>
      </c>
      <c r="C49" s="94">
        <f>E45</f>
        <v>22201.119999999999</v>
      </c>
      <c r="D49" s="81" t="s">
        <v>58</v>
      </c>
      <c r="E49" s="69"/>
      <c r="G49" s="68"/>
      <c r="H49" s="68"/>
      <c r="L49" s="64"/>
      <c r="M49" s="166"/>
      <c r="N49" s="64"/>
      <c r="O49" s="64"/>
    </row>
    <row r="50" spans="1:15" ht="18.75" customHeight="1">
      <c r="A50" s="74" t="s">
        <v>130</v>
      </c>
      <c r="B50" s="79" t="s">
        <v>40</v>
      </c>
      <c r="C50" s="94">
        <f>E45</f>
        <v>22201.119999999999</v>
      </c>
      <c r="D50" s="81" t="s">
        <v>58</v>
      </c>
      <c r="E50" s="69"/>
      <c r="G50" s="68"/>
      <c r="H50" s="68"/>
      <c r="L50" s="64"/>
      <c r="M50" s="166"/>
      <c r="N50" s="64"/>
      <c r="O50" s="64"/>
    </row>
    <row r="51" spans="1:15" ht="18.75" customHeight="1">
      <c r="A51" s="74" t="s">
        <v>131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66"/>
      <c r="N51" s="64"/>
      <c r="O51" s="64"/>
    </row>
    <row r="52" spans="1:15" ht="29.25" customHeight="1">
      <c r="A52" s="74" t="s">
        <v>132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66"/>
      <c r="N52" s="64"/>
      <c r="O52" s="64"/>
    </row>
    <row r="53" spans="1:15" ht="18.75">
      <c r="A53" s="74" t="s">
        <v>133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36330.480000000003</v>
      </c>
      <c r="F53" s="95" t="s">
        <v>171</v>
      </c>
      <c r="G53" s="67"/>
      <c r="H53" s="67"/>
      <c r="L53" s="64"/>
      <c r="M53" s="166"/>
      <c r="N53" s="64"/>
      <c r="O53" s="64"/>
    </row>
    <row r="54" spans="1:15" ht="18.75" customHeight="1">
      <c r="A54" s="74" t="s">
        <v>134</v>
      </c>
      <c r="B54" s="76" t="s">
        <v>36</v>
      </c>
      <c r="C54" s="99">
        <v>2435.02</v>
      </c>
      <c r="D54" s="95" t="s">
        <v>172</v>
      </c>
      <c r="E54" s="70"/>
      <c r="F54" s="90"/>
      <c r="G54" s="65"/>
      <c r="H54" s="65"/>
      <c r="L54" s="64"/>
      <c r="M54" s="166"/>
      <c r="N54" s="64"/>
      <c r="O54" s="64"/>
    </row>
    <row r="55" spans="1:15" ht="18.75" customHeight="1">
      <c r="A55" s="74" t="s">
        <v>135</v>
      </c>
      <c r="B55" s="76" t="s">
        <v>37</v>
      </c>
      <c r="C55" s="87">
        <v>29593.47</v>
      </c>
      <c r="D55" s="95" t="s">
        <v>170</v>
      </c>
      <c r="E55" s="70"/>
      <c r="G55" s="65"/>
      <c r="H55" s="65"/>
      <c r="L55" s="64"/>
      <c r="M55" s="166"/>
      <c r="N55" s="64"/>
      <c r="O55" s="64"/>
    </row>
    <row r="56" spans="1:15" ht="18.75" customHeight="1">
      <c r="A56" s="74" t="s">
        <v>136</v>
      </c>
      <c r="B56" s="76" t="s">
        <v>38</v>
      </c>
      <c r="C56" s="94">
        <f>IF(E53-C55&lt;0,0,E53-C55)</f>
        <v>6737.010000000002</v>
      </c>
      <c r="D56" s="81" t="s">
        <v>58</v>
      </c>
      <c r="E56" s="70"/>
      <c r="G56" s="65"/>
      <c r="H56" s="65"/>
      <c r="L56" s="64"/>
      <c r="M56" s="166"/>
      <c r="N56" s="64"/>
      <c r="O56" s="64"/>
    </row>
    <row r="57" spans="1:15" ht="18.75" customHeight="1">
      <c r="A57" s="74" t="s">
        <v>137</v>
      </c>
      <c r="B57" s="76" t="s">
        <v>39</v>
      </c>
      <c r="C57" s="94">
        <f>E53</f>
        <v>36330.480000000003</v>
      </c>
      <c r="D57" s="81" t="s">
        <v>58</v>
      </c>
      <c r="E57" s="70"/>
      <c r="G57" s="65"/>
      <c r="H57" s="65"/>
      <c r="L57" s="64"/>
      <c r="M57" s="166"/>
      <c r="N57" s="64"/>
      <c r="O57" s="64"/>
    </row>
    <row r="58" spans="1:15" ht="18.75" customHeight="1">
      <c r="A58" s="74" t="s">
        <v>138</v>
      </c>
      <c r="B58" s="76" t="s">
        <v>40</v>
      </c>
      <c r="C58" s="94">
        <f>E53</f>
        <v>36330.480000000003</v>
      </c>
      <c r="D58" s="81" t="s">
        <v>58</v>
      </c>
      <c r="E58" s="70"/>
      <c r="G58" s="65"/>
      <c r="H58" s="65"/>
      <c r="L58" s="64"/>
      <c r="M58" s="166"/>
      <c r="N58" s="64"/>
      <c r="O58" s="64"/>
    </row>
    <row r="59" spans="1:15" ht="18.75" customHeight="1">
      <c r="A59" s="74" t="s">
        <v>139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66"/>
      <c r="N59" s="64"/>
      <c r="O59" s="64"/>
    </row>
    <row r="60" spans="1:15" ht="33.75" customHeight="1">
      <c r="A60" s="74" t="s">
        <v>140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66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54</v>
      </c>
      <c r="E61" s="96">
        <v>105402.05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36</v>
      </c>
      <c r="C62" s="99">
        <v>195.07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37</v>
      </c>
      <c r="C63" s="87">
        <v>74248.75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38</v>
      </c>
      <c r="C64" s="94">
        <f>IF(E61-C63&lt;0,0,E61-C63)</f>
        <v>31153.300000000003</v>
      </c>
      <c r="D64" s="81" t="s">
        <v>58</v>
      </c>
      <c r="E64" s="70"/>
      <c r="G64" s="65"/>
      <c r="H64" s="65"/>
    </row>
    <row r="65" spans="1:8" ht="15.75" customHeight="1">
      <c r="A65" s="74" t="s">
        <v>145</v>
      </c>
      <c r="B65" s="76" t="s">
        <v>39</v>
      </c>
      <c r="C65" s="94">
        <f>E61</f>
        <v>105402.05</v>
      </c>
      <c r="D65" s="81" t="s">
        <v>58</v>
      </c>
      <c r="E65" s="70"/>
      <c r="G65" s="65"/>
      <c r="H65" s="65"/>
    </row>
    <row r="66" spans="1:8" ht="15.75" customHeight="1">
      <c r="A66" s="74" t="s">
        <v>146</v>
      </c>
      <c r="B66" s="76" t="s">
        <v>40</v>
      </c>
      <c r="C66" s="94">
        <f>E61</f>
        <v>105402.05</v>
      </c>
      <c r="D66" s="81" t="s">
        <v>58</v>
      </c>
      <c r="E66" s="70"/>
      <c r="G66" s="65"/>
      <c r="H66" s="65"/>
    </row>
    <row r="67" spans="1:8" ht="15.75" customHeight="1">
      <c r="A67" s="74" t="s">
        <v>147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148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54</v>
      </c>
      <c r="E69" s="96">
        <v>11058.54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36</v>
      </c>
      <c r="C70" s="99">
        <v>794.15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37</v>
      </c>
      <c r="C71" s="87">
        <v>9081.76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38</v>
      </c>
      <c r="C72" s="94">
        <f>IF(E69-C71&lt;0,0,E69-C71)</f>
        <v>1976.7800000000007</v>
      </c>
      <c r="D72" s="81" t="s">
        <v>58</v>
      </c>
      <c r="E72" s="70"/>
      <c r="G72" s="65"/>
      <c r="H72" s="65"/>
    </row>
    <row r="73" spans="1:8" ht="15.75" customHeight="1">
      <c r="A73" s="74" t="s">
        <v>153</v>
      </c>
      <c r="B73" s="76" t="s">
        <v>39</v>
      </c>
      <c r="C73" s="94">
        <f>E69</f>
        <v>11058.54</v>
      </c>
      <c r="D73" s="81" t="s">
        <v>58</v>
      </c>
      <c r="E73" s="70"/>
      <c r="G73" s="65"/>
      <c r="H73" s="65"/>
    </row>
    <row r="74" spans="1:8" ht="15.75" customHeight="1">
      <c r="A74" s="74" t="s">
        <v>154</v>
      </c>
      <c r="B74" s="76" t="s">
        <v>40</v>
      </c>
      <c r="C74" s="94">
        <f>E69</f>
        <v>11058.54</v>
      </c>
      <c r="D74" s="81" t="s">
        <v>58</v>
      </c>
      <c r="E74" s="70"/>
      <c r="G74" s="65"/>
      <c r="H74" s="65"/>
    </row>
    <row r="75" spans="1:8" ht="15.75" customHeight="1">
      <c r="A75" s="74" t="s">
        <v>155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156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>
        <f>IF(E77&gt;0,"Предоставляется",0)</f>
        <v>0</v>
      </c>
      <c r="D77" s="97" t="s">
        <v>85</v>
      </c>
      <c r="E77" s="96">
        <v>0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36</v>
      </c>
      <c r="C78" s="99">
        <v>0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37</v>
      </c>
      <c r="C79" s="87">
        <v>0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161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162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163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164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39" sqref="B39:B4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44</v>
      </c>
      <c r="C2" s="106">
        <v>0</v>
      </c>
      <c r="D2" s="108" t="s">
        <v>66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45</v>
      </c>
      <c r="C3" s="106">
        <v>0</v>
      </c>
      <c r="D3" s="108" t="s">
        <v>66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176</v>
      </c>
      <c r="B4" s="60" t="s">
        <v>46</v>
      </c>
      <c r="C4" s="107">
        <v>0</v>
      </c>
      <c r="D4" s="108" t="s">
        <v>66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2020-03-23T00:24:21Z</dcterms:modified>
</cp:coreProperties>
</file>