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5" i="1"/>
  <c r="A111" i="1"/>
  <c r="G110" i="1"/>
  <c r="A110" i="1"/>
  <c r="J109" i="1"/>
  <c r="J104" i="1"/>
  <c r="J103" i="1"/>
  <c r="A109" i="1"/>
  <c r="A106" i="1"/>
  <c r="A105" i="1"/>
  <c r="G102" i="1"/>
  <c r="F102" i="1"/>
  <c r="J101" i="1"/>
  <c r="J96" i="1"/>
  <c r="J95" i="1"/>
  <c r="A101" i="1"/>
  <c r="A100" i="1"/>
  <c r="A99" i="1"/>
  <c r="A97" i="1"/>
  <c r="A96" i="1"/>
  <c r="A95" i="1"/>
  <c r="G94" i="1"/>
  <c r="F94" i="1"/>
  <c r="D94" i="1"/>
  <c r="A94" i="1"/>
  <c r="K94" i="1"/>
  <c r="D110" i="1" l="1"/>
  <c r="A112" i="1"/>
  <c r="A116" i="1"/>
  <c r="A102" i="1"/>
  <c r="A103" i="1"/>
  <c r="A107" i="1"/>
  <c r="F110" i="1"/>
  <c r="A113" i="1"/>
  <c r="A117" i="1"/>
  <c r="D102" i="1"/>
  <c r="A104" i="1"/>
  <c r="A134" i="1"/>
  <c r="F118" i="1"/>
  <c r="A121" i="1"/>
  <c r="A125" i="1"/>
  <c r="F134" i="1"/>
  <c r="A137" i="1"/>
  <c r="A141" i="1"/>
  <c r="A122" i="1"/>
  <c r="A138" i="1"/>
  <c r="A135" i="1"/>
  <c r="A139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<sst xmlns="http://schemas.openxmlformats.org/spreadsheetml/2006/main" count="564" uniqueCount="211">
  <si>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</si>
  <si>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</si>
  <si>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</si>
  <si>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</si>
  <si>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</si>
  <si>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</si>
  <si>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</si>
  <si>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</si>
  <si>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</si>
  <si>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</si>
  <si>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</si>
  <si>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</si>
  <si>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</si>
  <si>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</si>
  <si>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</si>
  <si>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</si>
  <si>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</si>
  <si>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</si>
  <si>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</si>
  <si>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</si>
  <si>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</si>
  <si>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</si>
  <si>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</si>
  <si>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</si>
  <si>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</si>
  <si>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</si>
  <si>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</si>
  <si>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</si>
  <si>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</si>
  <si>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</si>
  <si>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</si>
  <si>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</si>
  <si>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</si>
  <si>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</si>
  <si>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</si>
  <si>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</si>
  <si>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</si>
  <si>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</si>
  <si>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</si>
  <si>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</si>
  <si>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</si>
  <si>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</si>
  <si>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</si>
  <si>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</si>
  <si>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</si>
  <si>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</si>
  <si>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</si>
  <si>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</si>
  <si>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</si>
  <si>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</si>
  <si>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</si>
  <si>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</si>
  <si>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</si>
  <si>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</si>
  <si>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</si>
  <si>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</si>
  <si>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</si>
  <si>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</si>
  <si>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</si>
  <si>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</si>
  <si>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</si>
  <si>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</si>
  <si>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</si>
  <si>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</si>
  <si>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</si>
  <si>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</si>
  <si>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</si>
  <si>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</si>
  <si>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</si>
  <si>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</si>
  <si>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</si>
  <si>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</si>
  <si>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</si>
  <si>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</si>
  <si>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</si>
  <si>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</si>
  <si>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</si>
  <si>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</si>
  <si>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</si>
  <si>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</si>
  <si>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</si>
  <si>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</si>
  <si>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</si>
  <si>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</si>
  <si>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</si>
  <si>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</si>
  <si>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</si>
  <si>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</si>
  <si>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</si>
  <si>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</si>
  <si>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</si>
  <si>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</si>
  <si>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</si>
  <si>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</si>
  <si>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</si>
  <si>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</si>
  <si>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</si>
  <si>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</si>
  <si>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</si>
  <si>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</si>
  <si>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</si>
  <si>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</si>
  <si>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</si>
  <si>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</si>
  <si>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</si>
  <si>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</si>
  <si>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</si>
  <si>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</si>
  <si>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</si>
  <si>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</si>
  <si>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</si>
  <si>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</si>
  <si>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</si>
  <si>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</si>
  <si>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</si>
  <si>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</si>
  <si>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</si>
  <si>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</si>
  <si>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</si>
  <si>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</si>
  <si>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</si>
  <si>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</si>
  <si>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</si>
  <si>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</si>
  <si>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</si>
  <si>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</si>
  <si>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</si>
  <si>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</si>
  <si>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</si>
  <si>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</si>
  <si>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</si>
  <si>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</si>
  <si>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</si>
  <si>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</si>
  <si>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</si>
  <si>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</si>
  <si>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</si>
  <si>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</si>
  <si>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</si>
  <si>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</si>
  <si>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</si>
  <si>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</si>
  <si>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</si>
  <si>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</si>
  <si>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</si>
  <si>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</si>
  <si>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</si>
  <si>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</si>
  <si>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</si>
  <si>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</si>
  <si>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</si>
  <si>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</si>
  <si>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</si>
  <si>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</si>
  <si>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</si>
  <si>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</si>
  <si>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</si>
  <si>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</si>
  <si>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</si>
  <si>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</si>
  <si>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</si>
  <si>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</si>
  <si>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</si>
  <si>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</si>
  <si>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</si>
  <si>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</si>
  <si>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</si>
  <si>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</si>
  <si>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</si>
  <si>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</si>
  <si>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</si>
  <si>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</si>
  <si>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</si>
  <si>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</si>
  <si>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</si>
  <si>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</si>
  <si>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</si>
  <si>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</si>
  <si>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</si>
  <si>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</si>
  <si>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289/7</t>
  </si>
  <si>
    <t>Работы по обеспечению пожарной безопасности</t>
  </si>
  <si>
    <t>Изготовление и монтаж металлической двери выход на кровлю.</t>
  </si>
  <si>
    <t>Изготовление и монтаж металлической межэтажной двери.</t>
  </si>
  <si>
    <t>Установка тамбурной двери.</t>
  </si>
  <si>
    <t>разово</t>
  </si>
  <si>
    <t>площадь дома</t>
  </si>
  <si>
    <t>5руб.</t>
  </si>
  <si>
    <t>с 01.06.2019</t>
  </si>
  <si>
    <t>АВР №1 от 25.09.2019, Решение, счет №3178 от 11.06.2019</t>
  </si>
  <si>
    <t>АВР №2 от 25.09.2019, Решение, счет №141 от 06.06.2019</t>
  </si>
  <si>
    <t>АВР №3 от 25.09.2019, Решение, счет №141 от 06.06.2019</t>
  </si>
  <si>
    <t>АВР №4 от 25.09.2019, Решение, счет №J6-09729 от 30.08.2019</t>
  </si>
  <si>
    <t>Аварийное восстановление стояков отопления в подъезде.</t>
  </si>
  <si>
    <t>АВР №5 от 25.10.2019</t>
  </si>
  <si>
    <t>Воздухоотводчики для стояков отопления в подъезде.</t>
  </si>
  <si>
    <t>АВР №9 от 10.12.2019</t>
  </si>
  <si>
    <t>Ремонт системы видеонаблюдения.</t>
  </si>
  <si>
    <t>АВР №8 от 10.10.2019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</si>
  <si>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</si>
  <si>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</si>
  <si>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</si>
  <si>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Монтаж охранной сигнализации в подвале.</t>
  </si>
  <si>
    <t>Отчет об исполнении договора управления многоквартирного дома 
Байкальская, 289/7 в части текущего ремонта</t>
  </si>
  <si>
    <t>с августа</t>
  </si>
  <si>
    <t xml:space="preserve">  -  непредвиденные затраты на ремонт шлагбаума</t>
  </si>
  <si>
    <t xml:space="preserve">  -  работы по выбору (решению) общего собрания или совета дома</t>
  </si>
  <si>
    <t xml:space="preserve">  -  чистка теплообменников ГВС и отопления</t>
  </si>
  <si>
    <t xml:space="preserve">  -  благоустройство придомовой территории (покраска малых форм, разлиновка парковочных мест)</t>
  </si>
  <si>
    <t>Начало отчетного периода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</si>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</sst>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5" fillId="0" borderId="0" xfId="5" applyFill="1" applyBorder="1" applyAlignment="1"/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5" fillId="0" borderId="0" xfId="5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4" borderId="0" xfId="0" applyFill="1" applyProtection="1">
      <protection locked="0"/>
    </xf>
    <xf numFmtId="0" fontId="4" fillId="0" borderId="0" xfId="6" applyFill="1"/>
    <xf numFmtId="4" fontId="20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1" fillId="0" borderId="0" xfId="6" applyFont="1" applyFill="1"/>
    <xf numFmtId="0" fontId="13" fillId="0" borderId="0" xfId="0" applyFont="1" applyBorder="1" applyAlignment="1">
      <alignment wrapText="1"/>
    </xf>
    <xf numFmtId="4" fontId="12" fillId="0" borderId="0" xfId="0" applyNumberFormat="1" applyFont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7" sqref="M1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53" t="s">
        <v>180</v>
      </c>
      <c r="B2" s="153"/>
      <c r="C2" s="153"/>
      <c r="D2" s="153"/>
      <c r="E2" s="153"/>
      <c r="F2" s="153"/>
      <c r="G2" s="153"/>
      <c r="H2" s="153"/>
      <c r="I2" s="153"/>
      <c r="J2" s="15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209</v>
      </c>
      <c r="E4" s="118">
        <v>43617</v>
      </c>
      <c r="K4" s="110"/>
      <c r="L4" s="110"/>
      <c r="M4" s="110"/>
      <c r="N4" s="110"/>
    </row>
    <row r="5" spans="1:18">
      <c r="A5" s="1" t="s">
        <v>0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0"/>
      <c r="L8" s="154"/>
      <c r="M8" s="110"/>
      <c r="N8" s="110"/>
      <c r="O8" s="70" t="s">
        <v>86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0"/>
      <c r="L9" s="154"/>
      <c r="M9" s="110"/>
      <c r="N9" s="110"/>
      <c r="O9" s="70" t="s">
        <v>87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0</v>
      </c>
      <c r="K10" s="110"/>
      <c r="L10" s="154"/>
      <c r="M10" s="110"/>
      <c r="N10" s="110"/>
      <c r="O10" s="70" t="s">
        <v>88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612528.59</v>
      </c>
      <c r="K11" s="110"/>
      <c r="L11" s="154"/>
      <c r="M11" s="110"/>
      <c r="N11" s="110"/>
      <c r="O11" s="70" t="s">
        <v>89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335042.96999999997</v>
      </c>
      <c r="K12" s="110"/>
      <c r="L12" s="154"/>
      <c r="M12" s="110"/>
      <c r="N12" s="110"/>
      <c r="O12" s="70" t="s">
        <v>90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138579</v>
      </c>
      <c r="K13" s="110"/>
      <c r="L13" s="154"/>
      <c r="M13" s="110"/>
      <c r="N13" s="110"/>
      <c r="O13" s="70" t="s">
        <v>91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138906.62</v>
      </c>
      <c r="K14" s="110"/>
      <c r="L14" s="154"/>
      <c r="M14" s="110"/>
      <c r="N14" s="110"/>
      <c r="O14" s="70" t="s">
        <v>92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61322.62</v>
      </c>
      <c r="K15" s="110"/>
      <c r="L15" s="154"/>
      <c r="M15" s="110"/>
      <c r="N15" s="110"/>
      <c r="O15" s="70" t="s">
        <v>93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61322.62</v>
      </c>
      <c r="K16" s="110"/>
      <c r="L16" s="154"/>
      <c r="M16" s="110"/>
      <c r="N16" s="110"/>
      <c r="O16" s="70" t="s">
        <v>94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0"/>
      <c r="L17" s="154"/>
      <c r="M17" s="110"/>
      <c r="N17" s="110"/>
      <c r="O17" s="70" t="s">
        <v>95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0"/>
      <c r="L18" s="154"/>
      <c r="M18" s="110"/>
      <c r="N18" s="110"/>
      <c r="O18" s="70" t="s">
        <v>96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0"/>
      <c r="L19" s="154"/>
      <c r="M19" s="110"/>
      <c r="N19" s="110"/>
      <c r="O19" s="70" t="s">
        <v>97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0"/>
      <c r="L20" s="154"/>
      <c r="M20" s="110"/>
      <c r="N20" s="110"/>
      <c r="O20" s="70" t="s">
        <v>98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61322.62</v>
      </c>
      <c r="K21" s="110"/>
      <c r="L21" s="154"/>
      <c r="M21" s="110"/>
      <c r="N21" s="110"/>
      <c r="O21" s="70" t="s">
        <v>99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0"/>
      <c r="L22" s="154"/>
      <c r="M22" s="110"/>
      <c r="N22" s="110"/>
      <c r="O22" s="70" t="s">
        <v>100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0"/>
      <c r="L23" s="154"/>
      <c r="M23" s="110"/>
      <c r="N23" s="110"/>
      <c r="O23" s="70" t="s">
        <v>101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551205.97</v>
      </c>
      <c r="K24" s="110"/>
      <c r="L24" s="154"/>
      <c r="M24" s="110"/>
      <c r="N24" s="110"/>
      <c r="O24" s="70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0"/>
      <c r="L27" s="15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95065.18</v>
      </c>
      <c r="G28" s="143"/>
      <c r="H28" s="6" t="str">
        <f>VLOOKUP(A28,ПТО!$A$39:$D$53,3,FALSE)</f>
        <v>Ежемесячно</v>
      </c>
      <c r="I28" s="139">
        <f>VLOOKUP(A28,ПТО!$A$39:$D$53,4,FALSE)</f>
        <v>7</v>
      </c>
      <c r="J28" s="139"/>
      <c r="K28" s="110"/>
      <c r="L28" s="15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8" t="str">
        <f>ПТО!A40</f>
        <v>Работы по содержанию лифта (лифтов)</v>
      </c>
      <c r="B29" s="138"/>
      <c r="C29" s="138"/>
      <c r="D29" s="138"/>
      <c r="E29" s="138"/>
      <c r="F29" s="143">
        <f>VLOOKUP(A29,ПТО!$A$39:$D$53,2,FALSE)</f>
        <v>49888.44</v>
      </c>
      <c r="G29" s="143"/>
      <c r="H29" s="41" t="str">
        <f>VLOOKUP(A29,ПТО!$A$39:$D$53,3,FALSE)</f>
        <v>Ежемесячно</v>
      </c>
      <c r="I29" s="139">
        <f>VLOOKUP(A29,ПТО!$A$39:$D$53,4,FALSE)</f>
        <v>7</v>
      </c>
      <c r="J29" s="139"/>
      <c r="K29" s="110"/>
      <c r="L29" s="155"/>
      <c r="M29" s="110"/>
      <c r="N29" s="110"/>
      <c r="O29" s="23" t="str">
        <f t="shared" si="1"/>
        <v>Работы по содержанию лифта (лифтов)</v>
      </c>
      <c r="R29" s="1" t="s">
        <v>74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56817.39</v>
      </c>
      <c r="G30" s="143"/>
      <c r="H30" s="41" t="str">
        <f>VLOOKUP(A30,ПТО!$A$39:$D$53,3,FALSE)</f>
        <v>В соответствии с графиком</v>
      </c>
      <c r="I30" s="139">
        <f>VLOOKUP(A30,ПТО!$A$39:$D$53,4,FALSE)</f>
        <v>7</v>
      </c>
      <c r="J30" s="139"/>
      <c r="K30" s="110"/>
      <c r="L30" s="15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32704.63</v>
      </c>
      <c r="G31" s="143"/>
      <c r="H31" s="41" t="str">
        <f>VLOOKUP(A31,ПТО!$A$39:$D$53,3,FALSE)</f>
        <v>Ежемесячно</v>
      </c>
      <c r="I31" s="139">
        <f>VLOOKUP(A31,ПТО!$A$39:$D$53,4,FALSE)</f>
        <v>7</v>
      </c>
      <c r="J31" s="139"/>
      <c r="K31" s="110"/>
      <c r="L31" s="15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1" t="e">
        <f>VLOOKUP(A32,ПТО!$A$39:$D$53,3,FALSE)</f>
        <v>#N/A</v>
      </c>
      <c r="I32" s="139" t="e">
        <f>VLOOKUP(A32,ПТО!$A$39:$D$53,4,FALSE)</f>
        <v>#N/A</v>
      </c>
      <c r="J32" s="139"/>
      <c r="K32" s="110"/>
      <c r="L32" s="155"/>
      <c r="M32" s="110"/>
      <c r="N32" s="110"/>
      <c r="O32" s="23">
        <f t="shared" si="1"/>
        <v>0</v>
      </c>
      <c r="R32" s="1" t="s">
        <v>74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13857.9</v>
      </c>
      <c r="G33" s="143"/>
      <c r="H33" s="41" t="str">
        <f>VLOOKUP(A33,ПТО!$A$39:$D$53,3,FALSE)</f>
        <v>Круглосуточно</v>
      </c>
      <c r="I33" s="139">
        <f>VLOOKUP(A33,ПТО!$A$39:$D$53,4,FALSE)</f>
        <v>7</v>
      </c>
      <c r="J33" s="139"/>
      <c r="K33" s="110"/>
      <c r="L33" s="15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56817.39</v>
      </c>
      <c r="G34" s="143"/>
      <c r="H34" s="41" t="str">
        <f>VLOOKUP(A34,ПТО!$A$39:$D$53,3,FALSE)</f>
        <v>В соответствии с графиком</v>
      </c>
      <c r="I34" s="139">
        <f>VLOOKUP(A34,ПТО!$A$39:$D$53,4,FALSE)</f>
        <v>7</v>
      </c>
      <c r="J34" s="139"/>
      <c r="K34" s="110"/>
      <c r="L34" s="15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38" t="str">
        <f>ПТО!A46</f>
        <v>Работы по обеспечению пожарной безопасности</v>
      </c>
      <c r="B35" s="138"/>
      <c r="C35" s="138"/>
      <c r="D35" s="138"/>
      <c r="E35" s="138"/>
      <c r="F35" s="143">
        <f>VLOOKUP(A35,ПТО!$A$39:$D$53,2,FALSE)</f>
        <v>29101.59</v>
      </c>
      <c r="G35" s="143"/>
      <c r="H35" s="41" t="str">
        <f>VLOOKUP(A35,ПТО!$A$39:$D$53,3,FALSE)</f>
        <v>Ежемесячно</v>
      </c>
      <c r="I35" s="139">
        <f>VLOOKUP(A35,ПТО!$A$39:$D$53,4,FALSE)</f>
        <v>7</v>
      </c>
      <c r="J35" s="139"/>
      <c r="K35" s="110"/>
      <c r="L35" s="155"/>
      <c r="M35" s="117"/>
      <c r="N35" s="110"/>
      <c r="O35" s="23" t="str">
        <f t="shared" si="1"/>
        <v>Работы по обеспечению пожарной безопасности</v>
      </c>
      <c r="R35" s="1" t="s">
        <v>74</v>
      </c>
    </row>
    <row r="36" spans="1:18" ht="51" customHeight="1" outlineLevel="1">
      <c r="A36" s="138" t="str">
        <f>ПТО!A47</f>
        <v>Услуги и работы по управлению МКД</v>
      </c>
      <c r="B36" s="138"/>
      <c r="C36" s="138"/>
      <c r="D36" s="138"/>
      <c r="E36" s="138"/>
      <c r="F36" s="143">
        <f>VLOOKUP(A36,ПТО!$A$39:$D$53,2,FALSE)</f>
        <v>138579</v>
      </c>
      <c r="G36" s="143"/>
      <c r="H36" s="41" t="str">
        <f>VLOOKUP(A36,ПТО!$A$39:$D$53,3,FALSE)</f>
        <v>Ежемесячно</v>
      </c>
      <c r="I36" s="139">
        <f>VLOOKUP(A36,ПТО!$A$39:$D$53,4,FALSE)</f>
        <v>7</v>
      </c>
      <c r="J36" s="139"/>
      <c r="K36" s="110"/>
      <c r="L36" s="155"/>
      <c r="M36" s="117"/>
      <c r="N36" s="110"/>
      <c r="O36" s="23" t="str">
        <f t="shared" si="1"/>
        <v>Услуги и работы по управлению МКД</v>
      </c>
      <c r="R36" s="1" t="s">
        <v>74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1" t="e">
        <f>VLOOKUP(A37,ПТО!$A$39:$D$53,3,FALSE)</f>
        <v>#N/A</v>
      </c>
      <c r="I37" s="139" t="e">
        <f>VLOOKUP(A37,ПТО!$A$39:$D$53,4,FALSE)</f>
        <v>#N/A</v>
      </c>
      <c r="J37" s="139"/>
      <c r="K37" s="110"/>
      <c r="L37" s="155"/>
      <c r="M37" s="117"/>
      <c r="N37" s="110"/>
      <c r="O37" s="23">
        <f t="shared" si="1"/>
        <v>0</v>
      </c>
      <c r="R37" s="1" t="s">
        <v>74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1" t="e">
        <f>VLOOKUP(A38,ПТО!$A$39:$D$53,3,FALSE)</f>
        <v>#N/A</v>
      </c>
      <c r="I38" s="139" t="e">
        <f>VLOOKUP(A38,ПТО!$A$39:$D$53,4,FALSE)</f>
        <v>#N/A</v>
      </c>
      <c r="J38" s="139"/>
      <c r="K38" s="110"/>
      <c r="L38" s="155"/>
      <c r="M38" s="117"/>
      <c r="N38" s="110"/>
      <c r="O38" s="23">
        <f t="shared" si="1"/>
        <v>0</v>
      </c>
      <c r="R38" s="1" t="s">
        <v>74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1" t="e">
        <f>VLOOKUP(A39,ПТО!$A$39:$D$53,3,FALSE)</f>
        <v>#N/A</v>
      </c>
      <c r="I39" s="139" t="e">
        <f>VLOOKUP(A39,ПТО!$A$39:$D$53,4,FALSE)</f>
        <v>#N/A</v>
      </c>
      <c r="J39" s="139"/>
      <c r="K39" s="110"/>
      <c r="L39" s="155"/>
      <c r="M39" s="117"/>
      <c r="N39" s="110"/>
      <c r="O39" s="23">
        <f t="shared" si="1"/>
        <v>0</v>
      </c>
      <c r="R39" s="1" t="s">
        <v>74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1" t="e">
        <f>VLOOKUP(A40,ПТО!$A$39:$D$53,3,FALSE)</f>
        <v>#N/A</v>
      </c>
      <c r="I40" s="139" t="e">
        <f>VLOOKUP(A40,ПТО!$A$39:$D$53,4,FALSE)</f>
        <v>#N/A</v>
      </c>
      <c r="J40" s="139"/>
      <c r="K40" s="110"/>
      <c r="L40" s="155"/>
      <c r="M40" s="117"/>
      <c r="N40" s="110"/>
      <c r="O40" s="23">
        <f t="shared" si="1"/>
        <v>0</v>
      </c>
      <c r="R40" s="1" t="s">
        <v>74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1" t="e">
        <f>VLOOKUP(A41,ПТО!$A$39:$D$53,3,FALSE)</f>
        <v>#N/A</v>
      </c>
      <c r="I41" s="139" t="e">
        <f>VLOOKUP(A41,ПТО!$A$39:$D$53,4,FALSE)</f>
        <v>#N/A</v>
      </c>
      <c r="J41" s="139"/>
      <c r="K41" s="110"/>
      <c r="L41" s="155"/>
      <c r="M41" s="117"/>
      <c r="N41" s="110"/>
      <c r="O41" s="23">
        <f t="shared" si="1"/>
        <v>0</v>
      </c>
      <c r="R41" s="1" t="s">
        <v>74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1" t="e">
        <f>VLOOKUP(A42,ПТО!$A$39:$D$53,3,FALSE)</f>
        <v>#N/A</v>
      </c>
      <c r="I42" s="139" t="e">
        <f>VLOOKUP(A42,ПТО!$A$39:$D$53,4,FALSE)</f>
        <v>#N/A</v>
      </c>
      <c r="J42" s="139"/>
      <c r="K42" s="110"/>
      <c r="L42" s="155"/>
      <c r="M42" s="117"/>
      <c r="N42" s="110"/>
      <c r="O42" s="23">
        <f t="shared" si="1"/>
        <v>0</v>
      </c>
      <c r="R42" s="1" t="s">
        <v>74</v>
      </c>
    </row>
    <row r="43" spans="1:18" ht="51" customHeight="1" outlineLevel="1">
      <c r="A43" s="138" t="str">
        <f>ПТО!A2</f>
        <v>Монтаж охранной сигнализации в подвале.</v>
      </c>
      <c r="B43" s="138"/>
      <c r="C43" s="138"/>
      <c r="D43" s="138"/>
      <c r="E43" s="138"/>
      <c r="F43" s="143">
        <f>VLOOKUP(A43,ПТО!$A$2:$D$31,4,FALSE)</f>
        <v>13125.06</v>
      </c>
      <c r="G43" s="143"/>
      <c r="H43" s="19" t="str">
        <f>VLOOKUP(A43,ПТО!$A$2:$D$31,2,FALSE)</f>
        <v>разово</v>
      </c>
      <c r="I43" s="139">
        <f>VLOOKUP(A43,ПТО!$A$2:$D$31,3,FALSE)</f>
        <v>1</v>
      </c>
      <c r="J43" s="139"/>
      <c r="K43" s="110"/>
      <c r="L43" s="155"/>
      <c r="M43" s="117"/>
      <c r="N43" s="110"/>
      <c r="O43" s="23" t="str">
        <f t="shared" si="1"/>
        <v>Монтаж охранной сигнализации в подвале.</v>
      </c>
      <c r="R43" s="22" t="s">
        <v>75</v>
      </c>
    </row>
    <row r="44" spans="1:18" ht="51" customHeight="1" outlineLevel="1">
      <c r="A44" s="138" t="str">
        <f>ПТО!A3</f>
        <v>Техническое обслуживание охранной сигнализации.</v>
      </c>
      <c r="B44" s="138"/>
      <c r="C44" s="138"/>
      <c r="D44" s="138"/>
      <c r="E44" s="138"/>
      <c r="F44" s="143">
        <f>VLOOKUP(A44,ПТО!$A$2:$D$31,4,FALSE)</f>
        <v>4500</v>
      </c>
      <c r="G44" s="143"/>
      <c r="H44" s="25" t="str">
        <f>VLOOKUP(A44,ПТО!$A$2:$D$31,2,FALSE)</f>
        <v>ежемесячно</v>
      </c>
      <c r="I44" s="139">
        <f>VLOOKUP(A44,ПТО!$A$2:$D$31,3,FALSE)</f>
        <v>5</v>
      </c>
      <c r="J44" s="139"/>
      <c r="K44" s="110"/>
      <c r="L44" s="155"/>
      <c r="M44" s="117"/>
      <c r="N44" s="110"/>
      <c r="O44" s="23" t="str">
        <f t="shared" si="1"/>
        <v>Техническое обслуживание охранной сигнализации.</v>
      </c>
      <c r="R44" s="22" t="s">
        <v>75</v>
      </c>
    </row>
    <row r="45" spans="1:18" ht="51" customHeight="1" outlineLevel="1">
      <c r="A45" s="138" t="str">
        <f>ПТО!A4</f>
        <v>Изготовление и монтаж металлической двери выход на кровлю.</v>
      </c>
      <c r="B45" s="138"/>
      <c r="C45" s="138"/>
      <c r="D45" s="138"/>
      <c r="E45" s="138"/>
      <c r="F45" s="143">
        <f>VLOOKUP(A45,ПТО!$A$2:$D$31,4,FALSE)</f>
        <v>19560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0"/>
      <c r="L45" s="155"/>
      <c r="M45" s="117"/>
      <c r="N45" s="110"/>
      <c r="O45" s="23" t="str">
        <f t="shared" si="1"/>
        <v>Изготовление и монтаж металлической двери выход на кровлю.</v>
      </c>
      <c r="R45" s="22" t="s">
        <v>75</v>
      </c>
    </row>
    <row r="46" spans="1:18" ht="51" customHeight="1" outlineLevel="1">
      <c r="A46" s="138" t="str">
        <f>ПТО!A5</f>
        <v>Изготовление и монтаж металлической межэтажной двери.</v>
      </c>
      <c r="B46" s="138"/>
      <c r="C46" s="138"/>
      <c r="D46" s="138"/>
      <c r="E46" s="138"/>
      <c r="F46" s="143">
        <f>VLOOKUP(A46,ПТО!$A$2:$D$31,4,FALSE)</f>
        <v>11300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0"/>
      <c r="L46" s="155"/>
      <c r="M46" s="117"/>
      <c r="N46" s="110"/>
      <c r="O46" s="23" t="str">
        <f t="shared" si="1"/>
        <v>Изготовление и монтаж металлической межэтажной двери.</v>
      </c>
      <c r="R46" s="22" t="s">
        <v>75</v>
      </c>
    </row>
    <row r="47" spans="1:18" ht="51" customHeight="1" outlineLevel="1">
      <c r="A47" s="138" t="str">
        <f>ПТО!A6</f>
        <v>Установка тамбурной двери.</v>
      </c>
      <c r="B47" s="138"/>
      <c r="C47" s="138"/>
      <c r="D47" s="138"/>
      <c r="E47" s="138"/>
      <c r="F47" s="143">
        <f>VLOOKUP(A47,ПТО!$A$2:$D$31,4,FALSE)</f>
        <v>31134.77</v>
      </c>
      <c r="G47" s="143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10"/>
      <c r="L47" s="155"/>
      <c r="M47" s="117"/>
      <c r="N47" s="110"/>
      <c r="O47" s="23" t="str">
        <f t="shared" si="1"/>
        <v>Установка тамбурной двери.</v>
      </c>
      <c r="R47" s="22" t="s">
        <v>75</v>
      </c>
    </row>
    <row r="48" spans="1:18" ht="51" customHeight="1" outlineLevel="1">
      <c r="A48" s="138" t="str">
        <f>ПТО!A7</f>
        <v>Аварийное восстановление стояков отопления в подъезде.</v>
      </c>
      <c r="B48" s="138"/>
      <c r="C48" s="138"/>
      <c r="D48" s="138"/>
      <c r="E48" s="138"/>
      <c r="F48" s="143">
        <f>VLOOKUP(A48,ПТО!$A$2:$D$31,4,FALSE)</f>
        <v>119108.14</v>
      </c>
      <c r="G48" s="143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10"/>
      <c r="L48" s="155"/>
      <c r="M48" s="117"/>
      <c r="N48" s="110"/>
      <c r="O48" s="23" t="str">
        <f t="shared" si="1"/>
        <v>Аварийное восстановление стояков отопления в подъезде.</v>
      </c>
      <c r="R48" s="22" t="s">
        <v>75</v>
      </c>
    </row>
    <row r="49" spans="1:18" ht="51" customHeight="1" outlineLevel="1">
      <c r="A49" s="138" t="str">
        <f>ПТО!A8</f>
        <v>Воздухоотводчики для стояков отопления в подъезде.</v>
      </c>
      <c r="B49" s="138"/>
      <c r="C49" s="138"/>
      <c r="D49" s="138"/>
      <c r="E49" s="138"/>
      <c r="F49" s="143">
        <f>VLOOKUP(A49,ПТО!$A$2:$D$31,4,FALSE)</f>
        <v>906</v>
      </c>
      <c r="G49" s="143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10"/>
      <c r="L49" s="155"/>
      <c r="M49" s="117"/>
      <c r="N49" s="110"/>
      <c r="O49" s="23" t="str">
        <f t="shared" si="1"/>
        <v>Воздухоотводчики для стояков отопления в подъезде.</v>
      </c>
      <c r="R49" s="22" t="s">
        <v>75</v>
      </c>
    </row>
    <row r="50" spans="1:18" ht="51" customHeight="1" outlineLevel="1">
      <c r="A50" s="138" t="str">
        <f>ПТО!A9</f>
        <v>Ремонт системы видеонаблюдения.</v>
      </c>
      <c r="B50" s="138"/>
      <c r="C50" s="138"/>
      <c r="D50" s="138"/>
      <c r="E50" s="138"/>
      <c r="F50" s="143">
        <f>VLOOKUP(A50,ПТО!$A$2:$D$31,4,FALSE)</f>
        <v>2500</v>
      </c>
      <c r="G50" s="143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10"/>
      <c r="L50" s="155"/>
      <c r="M50" s="117"/>
      <c r="N50" s="110"/>
      <c r="O50" s="23" t="str">
        <f t="shared" si="1"/>
        <v>Ремонт системы видеонаблюдения.</v>
      </c>
      <c r="R50" s="22" t="s">
        <v>75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0"/>
      <c r="L51" s="155"/>
      <c r="M51" s="117"/>
      <c r="N51" s="110"/>
      <c r="O51" s="23">
        <f t="shared" si="1"/>
        <v>0</v>
      </c>
      <c r="R51" s="22" t="s">
        <v>75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0"/>
      <c r="L52" s="155"/>
      <c r="M52" s="117"/>
      <c r="N52" s="110"/>
      <c r="O52" s="23">
        <f t="shared" si="1"/>
        <v>0</v>
      </c>
      <c r="R52" s="22" t="s">
        <v>75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0"/>
      <c r="L53" s="155"/>
      <c r="M53" s="117"/>
      <c r="N53" s="110"/>
      <c r="O53" s="23">
        <f t="shared" si="1"/>
        <v>0</v>
      </c>
      <c r="R53" s="22" t="s">
        <v>75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0"/>
      <c r="L54" s="155"/>
      <c r="M54" s="117"/>
      <c r="N54" s="110"/>
      <c r="O54" s="23">
        <f t="shared" si="1"/>
        <v>0</v>
      </c>
      <c r="R54" s="22" t="s">
        <v>75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0"/>
      <c r="L55" s="155"/>
      <c r="M55" s="117"/>
      <c r="N55" s="110"/>
      <c r="O55" s="23">
        <f t="shared" si="1"/>
        <v>0</v>
      </c>
      <c r="R55" s="22" t="s">
        <v>75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0"/>
      <c r="L56" s="155"/>
      <c r="M56" s="117"/>
      <c r="N56" s="110"/>
      <c r="O56" s="23">
        <f t="shared" si="1"/>
        <v>0</v>
      </c>
      <c r="R56" s="22" t="s">
        <v>75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0"/>
      <c r="L57" s="155"/>
      <c r="M57" s="117"/>
      <c r="N57" s="110"/>
      <c r="O57" s="23">
        <f t="shared" si="1"/>
        <v>0</v>
      </c>
      <c r="R57" s="22" t="s">
        <v>75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0"/>
      <c r="L58" s="155"/>
      <c r="M58" s="117"/>
      <c r="N58" s="110"/>
      <c r="O58" s="23">
        <f t="shared" si="1"/>
        <v>0</v>
      </c>
      <c r="R58" s="22" t="s">
        <v>75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0"/>
      <c r="L59" s="155"/>
      <c r="M59" s="117"/>
      <c r="N59" s="110"/>
      <c r="O59" s="23">
        <f t="shared" si="1"/>
        <v>0</v>
      </c>
      <c r="R59" s="22" t="s">
        <v>75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0"/>
      <c r="L60" s="155"/>
      <c r="M60" s="117"/>
      <c r="N60" s="110"/>
      <c r="O60" s="23">
        <f t="shared" si="1"/>
        <v>0</v>
      </c>
      <c r="R60" s="22" t="s">
        <v>75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0"/>
      <c r="L61" s="155"/>
      <c r="M61" s="117"/>
      <c r="N61" s="110"/>
      <c r="O61" s="23">
        <f t="shared" si="1"/>
        <v>0</v>
      </c>
      <c r="R61" s="22" t="s">
        <v>75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0"/>
      <c r="L62" s="155"/>
      <c r="M62" s="117"/>
      <c r="N62" s="110"/>
      <c r="O62" s="23">
        <f t="shared" si="1"/>
        <v>0</v>
      </c>
      <c r="R62" s="22" t="s">
        <v>75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0"/>
      <c r="L63" s="155"/>
      <c r="M63" s="117"/>
      <c r="N63" s="110"/>
      <c r="O63" s="23">
        <f t="shared" si="1"/>
        <v>0</v>
      </c>
      <c r="R63" s="22" t="s">
        <v>75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0"/>
      <c r="L64" s="155"/>
      <c r="M64" s="117"/>
      <c r="N64" s="110"/>
      <c r="O64" s="23">
        <f t="shared" si="1"/>
        <v>0</v>
      </c>
      <c r="R64" s="22" t="s">
        <v>75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0"/>
      <c r="L65" s="155"/>
      <c r="M65" s="117"/>
      <c r="N65" s="110"/>
      <c r="O65" s="23">
        <f t="shared" si="1"/>
        <v>0</v>
      </c>
      <c r="R65" s="22" t="s">
        <v>75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0"/>
      <c r="L66" s="155"/>
      <c r="M66" s="117"/>
      <c r="N66" s="110"/>
      <c r="O66" s="23">
        <f t="shared" si="1"/>
        <v>0</v>
      </c>
      <c r="R66" s="22" t="s">
        <v>75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0"/>
      <c r="L67" s="155"/>
      <c r="M67" s="117"/>
      <c r="N67" s="110"/>
      <c r="O67" s="23">
        <f t="shared" si="1"/>
        <v>0</v>
      </c>
      <c r="R67" s="22" t="s">
        <v>75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0"/>
      <c r="L68" s="155"/>
      <c r="M68" s="117"/>
      <c r="N68" s="110"/>
      <c r="O68" s="23">
        <f t="shared" si="1"/>
        <v>0</v>
      </c>
      <c r="R68" s="22" t="s">
        <v>75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0"/>
      <c r="L69" s="155"/>
      <c r="M69" s="117"/>
      <c r="N69" s="110"/>
      <c r="O69" s="23">
        <f t="shared" si="1"/>
        <v>0</v>
      </c>
      <c r="R69" s="22" t="s">
        <v>75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0"/>
      <c r="L70" s="155"/>
      <c r="M70" s="117"/>
      <c r="N70" s="110"/>
      <c r="O70" s="23">
        <f t="shared" si="1"/>
        <v>0</v>
      </c>
      <c r="R70" s="22" t="s">
        <v>75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7"/>
      <c r="L71" s="155"/>
      <c r="M71" s="117"/>
      <c r="N71" s="117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0"/>
      <c r="L72" s="155"/>
      <c r="M72" s="117"/>
      <c r="N72" s="110"/>
      <c r="O72" s="23">
        <f t="shared" si="1"/>
        <v>0</v>
      </c>
      <c r="R72" s="22" t="s">
        <v>75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56" t="s">
        <v>26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0"/>
      <c r="L75" s="158"/>
      <c r="M75" s="110"/>
      <c r="N75" s="110"/>
      <c r="O75" s="70" t="s">
        <v>103</v>
      </c>
    </row>
    <row r="76" spans="1:16384" ht="18.75" customHeight="1" outlineLevel="1">
      <c r="A76" s="156" t="s">
        <v>27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0"/>
      <c r="L76" s="158"/>
      <c r="M76" s="110"/>
      <c r="N76" s="110"/>
      <c r="O76" s="70" t="s">
        <v>104</v>
      </c>
    </row>
    <row r="77" spans="1:16384" ht="21.75" customHeight="1" outlineLevel="1">
      <c r="A77" s="156" t="s">
        <v>28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0"/>
      <c r="L77" s="158"/>
      <c r="M77" s="110"/>
      <c r="N77" s="110"/>
      <c r="O77" s="70" t="s">
        <v>105</v>
      </c>
    </row>
    <row r="78" spans="1:16384" ht="18.75" customHeight="1" outlineLevel="1">
      <c r="A78" s="156" t="s">
        <v>29</v>
      </c>
      <c r="B78" s="156"/>
      <c r="C78" s="156"/>
      <c r="D78" s="156"/>
      <c r="E78" s="156"/>
      <c r="F78" s="156"/>
      <c r="G78" s="156"/>
      <c r="H78" s="156"/>
      <c r="I78" s="156"/>
      <c r="J78" s="97">
        <f>VLOOKUP(O78,АО,3,FALSE)</f>
        <v>0</v>
      </c>
      <c r="K78" s="110"/>
      <c r="L78" s="158"/>
      <c r="M78" s="110"/>
      <c r="N78" s="110"/>
      <c r="O78" s="70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7">
        <f t="shared" ref="J81:J90" si="2">VLOOKUP(O81,АО,3,FALSE)</f>
        <v>0</v>
      </c>
      <c r="K81" s="110"/>
      <c r="L81" s="144"/>
      <c r="M81" s="110"/>
      <c r="N81" s="110"/>
      <c r="O81" s="70" t="s">
        <v>107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7">
        <f t="shared" si="2"/>
        <v>0</v>
      </c>
      <c r="K82" s="110"/>
      <c r="L82" s="144"/>
      <c r="M82" s="110"/>
      <c r="N82" s="110"/>
      <c r="O82" s="70" t="s">
        <v>108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7">
        <f t="shared" si="2"/>
        <v>0</v>
      </c>
      <c r="K83" s="110"/>
      <c r="L83" s="144"/>
      <c r="M83" s="110"/>
      <c r="N83" s="110"/>
      <c r="O83" s="70" t="s">
        <v>109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7">
        <f t="shared" si="2"/>
        <v>0</v>
      </c>
      <c r="K84" s="110"/>
      <c r="L84" s="144"/>
      <c r="M84" s="110"/>
      <c r="N84" s="110"/>
      <c r="O84" s="70" t="s">
        <v>110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7">
        <f t="shared" si="2"/>
        <v>0</v>
      </c>
      <c r="K85" s="110"/>
      <c r="L85" s="144"/>
      <c r="M85" s="110"/>
      <c r="N85" s="110"/>
      <c r="O85" s="70" t="s">
        <v>111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7">
        <f t="shared" si="2"/>
        <v>48397.71</v>
      </c>
      <c r="K86" s="110"/>
      <c r="L86" s="144"/>
      <c r="M86" s="110"/>
      <c r="N86" s="110"/>
      <c r="O86" s="70" t="s">
        <v>112</v>
      </c>
    </row>
    <row r="87" spans="1:15" ht="18.75" customHeight="1" outlineLevel="1">
      <c r="A87" s="150" t="s">
        <v>26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0"/>
      <c r="L87" s="144"/>
      <c r="M87" s="110"/>
      <c r="N87" s="110"/>
      <c r="O87" s="70" t="s">
        <v>113</v>
      </c>
    </row>
    <row r="88" spans="1:15" ht="18.75" customHeight="1" outlineLevel="1">
      <c r="A88" s="150" t="s">
        <v>27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0"/>
      <c r="L88" s="144"/>
      <c r="M88" s="110"/>
      <c r="N88" s="110"/>
      <c r="O88" s="70" t="s">
        <v>114</v>
      </c>
    </row>
    <row r="89" spans="1:15" ht="18.75" customHeight="1" outlineLevel="1">
      <c r="A89" s="150" t="s">
        <v>28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0"/>
      <c r="L89" s="144"/>
      <c r="M89" s="110"/>
      <c r="N89" s="110"/>
      <c r="O89" s="70" t="s">
        <v>115</v>
      </c>
    </row>
    <row r="90" spans="1:15" ht="18.75" customHeight="1" outlineLevel="1">
      <c r="A90" s="150" t="s">
        <v>29</v>
      </c>
      <c r="B90" s="151"/>
      <c r="C90" s="151"/>
      <c r="D90" s="151"/>
      <c r="E90" s="151"/>
      <c r="F90" s="151"/>
      <c r="G90" s="151"/>
      <c r="H90" s="151"/>
      <c r="I90" s="152"/>
      <c r="J90" s="97">
        <f t="shared" si="2"/>
        <v>0</v>
      </c>
      <c r="K90" s="110"/>
      <c r="L90" s="144"/>
      <c r="M90" s="110"/>
      <c r="N90" s="110"/>
      <c r="O90" s="70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9" t="s">
        <v>47</v>
      </c>
      <c r="B93" s="159"/>
      <c r="C93" s="159"/>
      <c r="D93" s="160" t="s">
        <v>48</v>
      </c>
      <c r="E93" s="160"/>
      <c r="F93" s="10" t="s">
        <v>49</v>
      </c>
      <c r="G93" s="159" t="s">
        <v>50</v>
      </c>
      <c r="H93" s="159"/>
      <c r="I93" s="159"/>
      <c r="J93" s="159"/>
      <c r="K93" s="110"/>
      <c r="L93" s="110"/>
      <c r="M93" s="110"/>
      <c r="N93" s="110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31626.799999999999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28882.92</v>
      </c>
      <c r="L95" s="145"/>
      <c r="O95" s="1" t="s">
        <v>117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23272.42</v>
      </c>
      <c r="L96" s="145"/>
      <c r="O96" s="1" t="s">
        <v>118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8354.380000000001</v>
      </c>
      <c r="L97" s="145"/>
      <c r="O97" s="1" t="s">
        <v>119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31626.799999999999</v>
      </c>
      <c r="L98" s="145"/>
      <c r="O98" s="1" t="s">
        <v>120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31626.799999999999</v>
      </c>
      <c r="L99" s="145"/>
      <c r="O99" s="1" t="s">
        <v>121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122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123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20690.13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1485.83</v>
      </c>
      <c r="L103" s="145"/>
      <c r="O103" s="1" t="s">
        <v>126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17317.810000000001</v>
      </c>
      <c r="L104" s="145"/>
      <c r="O104" s="1" t="s">
        <v>127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3372.3199999999997</v>
      </c>
      <c r="L105" s="145"/>
      <c r="O105" s="1" t="s">
        <v>128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20690.13</v>
      </c>
      <c r="L106" s="145"/>
      <c r="O106" s="1" t="s">
        <v>129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20690.13</v>
      </c>
      <c r="L107" s="145"/>
      <c r="O107" s="1" t="s">
        <v>130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131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132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34513.56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2313.2399999999998</v>
      </c>
      <c r="L111" s="145"/>
      <c r="O111" s="1" t="s">
        <v>134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28361.19</v>
      </c>
      <c r="L112" s="145"/>
      <c r="O112" s="1" t="s">
        <v>135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6152.369999999999</v>
      </c>
      <c r="L113" s="145"/>
      <c r="O113" s="1" t="s">
        <v>136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34513.56</v>
      </c>
      <c r="L114" s="145"/>
      <c r="O114" s="1" t="s">
        <v>137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34513.56</v>
      </c>
      <c r="L115" s="145"/>
      <c r="O115" s="1" t="s">
        <v>138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139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140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100934.34</v>
      </c>
      <c r="H118" s="141"/>
      <c r="I118" s="141"/>
      <c r="J118" s="141"/>
      <c r="L118" s="47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186.8</v>
      </c>
      <c r="L119" s="47"/>
      <c r="O119" s="1" t="s">
        <v>142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72229.42</v>
      </c>
      <c r="L120" s="47"/>
      <c r="O120" s="1" t="s">
        <v>143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28704.92</v>
      </c>
      <c r="L121" s="47"/>
      <c r="O121" s="1" t="s">
        <v>144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100934.34</v>
      </c>
      <c r="L122" s="47"/>
      <c r="O122" s="1" t="s">
        <v>145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100934.34</v>
      </c>
      <c r="L123" s="47"/>
      <c r="O123" s="1" t="s">
        <v>146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7"/>
      <c r="O125" s="1" t="s">
        <v>148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11319.64</v>
      </c>
      <c r="H126" s="141"/>
      <c r="I126" s="141"/>
      <c r="J126" s="141"/>
      <c r="L126" s="47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812.9</v>
      </c>
      <c r="L127" s="47"/>
      <c r="O127" s="1" t="s">
        <v>150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9505.92</v>
      </c>
      <c r="L128" s="47"/>
      <c r="O128" s="1" t="s">
        <v>151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1813.7199999999993</v>
      </c>
      <c r="L129" s="47"/>
      <c r="O129" s="1" t="s">
        <v>152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11319.64</v>
      </c>
      <c r="L130" s="47"/>
      <c r="O130" s="1" t="s">
        <v>153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11319.64</v>
      </c>
      <c r="L131" s="47"/>
      <c r="O131" s="1" t="s">
        <v>154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7"/>
      <c r="O132" s="1" t="s">
        <v>155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7"/>
      <c r="O133" s="1" t="s">
        <v>156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7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7"/>
      <c r="O135" s="1" t="s">
        <v>158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7"/>
      <c r="O136" s="1" t="s">
        <v>159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7"/>
      <c r="O137" s="1" t="s">
        <v>160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7"/>
      <c r="O138" s="1" t="s">
        <v>161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7"/>
      <c r="O139" s="1" t="s">
        <v>162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7"/>
      <c r="O140" s="1" t="s">
        <v>163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7"/>
      <c r="O141" s="1" t="s">
        <v>164</v>
      </c>
    </row>
    <row r="143" spans="1:15">
      <c r="A143" s="11" t="s">
        <v>43</v>
      </c>
    </row>
    <row r="144" spans="1:15" ht="18.75" customHeight="1" outlineLevel="1">
      <c r="A144" s="136" t="s">
        <v>44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0</v>
      </c>
      <c r="O144" t="s">
        <v>174</v>
      </c>
    </row>
    <row r="145" spans="1:15" ht="18.75" customHeight="1" outlineLevel="1">
      <c r="A145" s="136" t="s">
        <v>45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6" t="s">
        <v>177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0</v>
      </c>
      <c r="O146" t="s">
        <v>176</v>
      </c>
    </row>
    <row r="149" spans="1:15" ht="52.5" customHeight="1">
      <c r="A149" s="161" t="s">
        <v>203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209</v>
      </c>
      <c r="E151" s="3">
        <v>43617</v>
      </c>
    </row>
    <row r="152" spans="1:15">
      <c r="A152" s="1" t="s">
        <v>0</v>
      </c>
      <c r="E152" s="3">
        <v>43830</v>
      </c>
    </row>
    <row r="154" spans="1:15" ht="39.75" customHeight="1">
      <c r="A154" s="163" t="s">
        <v>70</v>
      </c>
      <c r="B154" s="163"/>
      <c r="C154" s="163"/>
      <c r="D154" s="163"/>
      <c r="E154" s="27">
        <f>ПТО!G1</f>
        <v>0</v>
      </c>
    </row>
    <row r="155" spans="1:15" ht="34.5" customHeight="1">
      <c r="A155" s="162" t="s">
        <v>71</v>
      </c>
      <c r="B155" s="162"/>
      <c r="C155" s="162"/>
      <c r="D155" s="162"/>
      <c r="E155" s="28">
        <f>J13</f>
        <v>138579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Монтаж охранной сигнализации в подвале.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13125.06</v>
      </c>
      <c r="G158" s="143"/>
      <c r="H158" s="24" t="str">
        <f t="shared" ref="H158:H187" si="16">VLOOKUP(A158,$A$28:$J$72,8,FALSE)</f>
        <v>разово</v>
      </c>
      <c r="I158" s="139">
        <f t="shared" ref="I158:I161" si="17">VLOOKUP(A158,$A$28:$J$72,9,FALSE)</f>
        <v>1</v>
      </c>
      <c r="J158" s="139"/>
      <c r="M158" s="22" t="s">
        <v>75</v>
      </c>
      <c r="N158" s="1" t="str">
        <f t="array" ref="N158:N187">INDEX($O$43:$O$72,SMALL(IF($M$158=R43:R72,ROW(O43:O72)-42,""),ROW()-157))</f>
        <v>Монтаж охранной сигнализации в подвале.</v>
      </c>
    </row>
    <row r="159" spans="1:15" ht="28.5" customHeight="1">
      <c r="A159" s="138" t="str">
        <f t="shared" si="14"/>
        <v>Техническое обслуживание охранной сигнализации.</v>
      </c>
      <c r="B159" s="138"/>
      <c r="C159" s="138"/>
      <c r="D159" s="138"/>
      <c r="E159" s="138"/>
      <c r="F159" s="143">
        <f t="shared" si="15"/>
        <v>4500</v>
      </c>
      <c r="G159" s="143"/>
      <c r="H159" s="24" t="str">
        <f t="shared" si="16"/>
        <v>ежемесячно</v>
      </c>
      <c r="I159" s="139">
        <f t="shared" si="17"/>
        <v>5</v>
      </c>
      <c r="J159" s="139"/>
      <c r="M159" s="22" t="s">
        <v>75</v>
      </c>
      <c r="N159" s="1" t="str">
        <v>Техническое обслуживание охранной сигнализации.</v>
      </c>
    </row>
    <row r="160" spans="1:15" ht="28.5" customHeight="1">
      <c r="A160" s="138" t="str">
        <f t="shared" si="14"/>
        <v>Изготовление и монтаж металлической двери выход на кровлю.</v>
      </c>
      <c r="B160" s="138"/>
      <c r="C160" s="138"/>
      <c r="D160" s="138"/>
      <c r="E160" s="138"/>
      <c r="F160" s="143">
        <f t="shared" si="15"/>
        <v>19560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75</v>
      </c>
      <c r="N160" s="1" t="str">
        <v>Изготовление и монтаж металлической двери выход на кровлю.</v>
      </c>
    </row>
    <row r="161" spans="1:14" ht="28.5" customHeight="1">
      <c r="A161" s="138" t="str">
        <f>IF(N161&gt;0,N161,0)</f>
        <v>Изготовление и монтаж металлической межэтажной двери.</v>
      </c>
      <c r="B161" s="138"/>
      <c r="C161" s="138"/>
      <c r="D161" s="138"/>
      <c r="E161" s="138"/>
      <c r="F161" s="143">
        <f t="shared" si="15"/>
        <v>11300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75</v>
      </c>
      <c r="N161" s="1" t="str">
        <v>Изготовление и монтаж металлической межэтажной двери.</v>
      </c>
    </row>
    <row r="162" spans="1:14" ht="28.5" customHeight="1">
      <c r="A162" s="138" t="str">
        <f t="shared" si="14"/>
        <v>Установка тамбурной двери.</v>
      </c>
      <c r="B162" s="138"/>
      <c r="C162" s="138"/>
      <c r="D162" s="138"/>
      <c r="E162" s="138"/>
      <c r="F162" s="143">
        <f t="shared" si="15"/>
        <v>31134.77</v>
      </c>
      <c r="G162" s="143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75</v>
      </c>
      <c r="N162" s="1" t="str">
        <v>Установка тамбурной двери.</v>
      </c>
    </row>
    <row r="163" spans="1:14" ht="28.5" customHeight="1">
      <c r="A163" s="138" t="str">
        <f t="shared" si="14"/>
        <v>Аварийное восстановление стояков отопления в подъезде.</v>
      </c>
      <c r="B163" s="138"/>
      <c r="C163" s="138"/>
      <c r="D163" s="138"/>
      <c r="E163" s="138"/>
      <c r="F163" s="143">
        <f t="shared" si="15"/>
        <v>119108.14</v>
      </c>
      <c r="G163" s="143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75</v>
      </c>
      <c r="N163" s="1" t="str">
        <v>Аварийное восстановление стояков отопления в подъезде.</v>
      </c>
    </row>
    <row r="164" spans="1:14" ht="28.5" customHeight="1">
      <c r="A164" s="138" t="str">
        <f t="shared" ref="A164:A187" si="18">IF(N164&gt;0,N164,0)</f>
        <v>Воздухоотводчики для стояков отопления в подъезде.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906</v>
      </c>
      <c r="G164" s="143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75</v>
      </c>
      <c r="N164" s="1" t="str">
        <v>Воздухоотводчики для стояков отопления в подъезде.</v>
      </c>
    </row>
    <row r="165" spans="1:14" ht="28.5" customHeight="1">
      <c r="A165" s="138" t="str">
        <f t="shared" si="18"/>
        <v>Ремонт системы видеонаблюдения.</v>
      </c>
      <c r="B165" s="138"/>
      <c r="C165" s="138"/>
      <c r="D165" s="138"/>
      <c r="E165" s="138"/>
      <c r="F165" s="143">
        <f t="shared" si="19"/>
        <v>2500</v>
      </c>
      <c r="G165" s="143"/>
      <c r="H165" s="29" t="str">
        <f t="shared" si="16"/>
        <v>разово</v>
      </c>
      <c r="I165" s="139">
        <f t="shared" si="20"/>
        <v>1</v>
      </c>
      <c r="J165" s="139"/>
      <c r="M165" s="22" t="s">
        <v>75</v>
      </c>
      <c r="N165" s="1" t="str">
        <v>Ремонт системы видеонаблюдения.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75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75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75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75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75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75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75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75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75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75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75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75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75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75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75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75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75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75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75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75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75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75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63" t="s">
        <v>72</v>
      </c>
      <c r="B190" s="163"/>
      <c r="C190" s="163"/>
      <c r="D190" s="163"/>
      <c r="E190" s="27">
        <f>SUM(F158:G187)</f>
        <v>202133.97</v>
      </c>
    </row>
    <row r="191" spans="1:14" ht="51.75" customHeight="1">
      <c r="A191" s="163" t="s">
        <v>73</v>
      </c>
      <c r="B191" s="163"/>
      <c r="C191" s="163"/>
      <c r="D191" s="163"/>
      <c r="E191" s="27">
        <f>E190+E154-E155</f>
        <v>63554.97</v>
      </c>
    </row>
    <row r="192" spans="1:14">
      <c r="A192" s="105" t="s">
        <v>178</v>
      </c>
    </row>
    <row r="193" spans="1:10" ht="62.25" customHeight="1">
      <c r="A193" s="137" t="s">
        <v>76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49">
        <f>ПТО!G12</f>
        <v>1200</v>
      </c>
      <c r="I194" s="50" t="s">
        <v>78</v>
      </c>
    </row>
    <row r="195" spans="1:10" ht="18.75" customHeight="1">
      <c r="A195" s="135" t="str">
        <f>ПТО!F13</f>
        <v xml:space="preserve">  -  техническое освидетельствование лифта</v>
      </c>
      <c r="B195" s="135"/>
      <c r="C195" s="135"/>
      <c r="D195" s="135"/>
      <c r="E195" s="135"/>
      <c r="F195" s="135"/>
      <c r="G195" s="135"/>
      <c r="H195" s="49">
        <f>ПТО!G13</f>
        <v>16200</v>
      </c>
      <c r="I195" s="50" t="s">
        <v>78</v>
      </c>
    </row>
    <row r="196" spans="1:10" ht="18.75" customHeight="1">
      <c r="A196" s="135" t="str">
        <f>ПТО!F14</f>
        <v xml:space="preserve">  -  техническое обслуживание охранной сигнализации</v>
      </c>
      <c r="B196" s="135"/>
      <c r="C196" s="135"/>
      <c r="D196" s="135"/>
      <c r="E196" s="135"/>
      <c r="F196" s="135"/>
      <c r="G196" s="135"/>
      <c r="H196" s="49">
        <f>ПТО!G14</f>
        <v>10800</v>
      </c>
      <c r="I196" s="50" t="s">
        <v>78</v>
      </c>
    </row>
    <row r="197" spans="1:10" ht="18.75" customHeight="1">
      <c r="A197" s="135" t="str">
        <f>ПТО!F15</f>
        <v xml:space="preserve">  -  чистка теплообменников ГВС и отопления</v>
      </c>
      <c r="B197" s="135"/>
      <c r="C197" s="135"/>
      <c r="D197" s="135"/>
      <c r="E197" s="135"/>
      <c r="F197" s="135"/>
      <c r="G197" s="135"/>
      <c r="H197" s="49">
        <f>ПТО!G15</f>
        <v>20000</v>
      </c>
      <c r="I197" s="50" t="s">
        <v>78</v>
      </c>
    </row>
    <row r="198" spans="1:10" ht="18.75" customHeight="1">
      <c r="A198" s="135" t="str">
        <f>ПТО!F16</f>
        <v xml:space="preserve">  -  благоустройство придомовой территории (покраска малых форм, разлиновка парковочных мест)</v>
      </c>
      <c r="B198" s="135"/>
      <c r="C198" s="135"/>
      <c r="D198" s="135"/>
      <c r="E198" s="135"/>
      <c r="F198" s="135"/>
      <c r="G198" s="135"/>
      <c r="H198" s="49">
        <f>ПТО!G16</f>
        <v>10000</v>
      </c>
      <c r="I198" s="52" t="s">
        <v>78</v>
      </c>
    </row>
    <row r="199" spans="1:10" ht="18.75" customHeight="1">
      <c r="A199" s="135" t="str">
        <f>ПТО!F17</f>
        <v xml:space="preserve">  -  непредвиденные затраты на ремонт шлагбаума</v>
      </c>
      <c r="B199" s="135"/>
      <c r="C199" s="135"/>
      <c r="D199" s="135"/>
      <c r="E199" s="135"/>
      <c r="F199" s="135"/>
      <c r="G199" s="135"/>
      <c r="H199" s="49">
        <f>ПТО!G17</f>
        <v>4000</v>
      </c>
      <c r="I199" s="50" t="s">
        <v>78</v>
      </c>
    </row>
    <row r="200" spans="1:10">
      <c r="A200" s="135" t="str">
        <f>ПТО!F18</f>
        <v xml:space="preserve">  -  работы по выбору (решению) общего собрания или совета дома</v>
      </c>
      <c r="B200" s="135"/>
      <c r="C200" s="135"/>
      <c r="D200" s="135"/>
      <c r="E200" s="135"/>
      <c r="F200" s="135"/>
      <c r="G200" s="135"/>
      <c r="H200" s="49">
        <f>ПТО!G18</f>
        <v>111000</v>
      </c>
      <c r="I200" s="50" t="s">
        <v>78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49">
        <f>ПТО!G19</f>
        <v>0</v>
      </c>
      <c r="I201" s="50" t="s">
        <v>78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49">
        <f>ПТО!G20</f>
        <v>0</v>
      </c>
      <c r="I202" s="50" t="s">
        <v>78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49">
        <f>ПТО!G21</f>
        <v>0</v>
      </c>
      <c r="I203" s="50" t="s">
        <v>78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49">
        <f>ПТО!G22</f>
        <v>0</v>
      </c>
      <c r="I204" s="50" t="s">
        <v>78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49">
        <f>ПТО!G23</f>
        <v>0</v>
      </c>
      <c r="I205" s="50" t="s">
        <v>78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49">
        <f>ПТО!G24</f>
        <v>0</v>
      </c>
      <c r="I206" s="50" t="s">
        <v>78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49">
        <f>ПТО!G25</f>
        <v>0</v>
      </c>
      <c r="I207" s="50" t="s">
        <v>78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49">
        <f>ПТО!G26</f>
        <v>0</v>
      </c>
      <c r="I208" s="50" t="s">
        <v>78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49">
        <f>ПТО!G27</f>
        <v>0</v>
      </c>
      <c r="I209" s="50" t="s">
        <v>78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49">
        <f>ПТО!G28</f>
        <v>0</v>
      </c>
      <c r="I210" s="50" t="s">
        <v>78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49">
        <f>ПТО!G29</f>
        <v>0</v>
      </c>
      <c r="I211" s="50" t="s">
        <v>78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49">
        <f>ПТО!G30</f>
        <v>0</v>
      </c>
      <c r="I212" s="50" t="s">
        <v>78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49">
        <f>ПТО!G31</f>
        <v>0</v>
      </c>
      <c r="I213" s="50" t="s">
        <v>78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173200</v>
      </c>
      <c r="I214" s="56" t="s">
        <v>81</v>
      </c>
    </row>
  </sheetData>
  <sheetProtection algorithmName="SHA-512" hashValue="1ZBmrRSk+5v0KEWQXhyE0aqIGcYL91GWolKStzIRu2OxDhmiQWqvpr/HJl1huW1USAuCI6LkqLKqgsE3LgGOig==" saltValue="tZcc1SbpyYt8KYvNCY4I5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70</v>
      </c>
      <c r="G1" s="102">
        <f>0</f>
        <v>0</v>
      </c>
    </row>
    <row r="2" spans="1:12" ht="18.75" customHeight="1">
      <c r="A2" s="131" t="s">
        <v>202</v>
      </c>
      <c r="B2" s="120" t="s">
        <v>185</v>
      </c>
      <c r="C2" s="120">
        <v>1</v>
      </c>
      <c r="D2" s="121">
        <v>13125.06</v>
      </c>
      <c r="E2" s="125" t="s">
        <v>189</v>
      </c>
      <c r="F2" s="30"/>
      <c r="G2" s="32"/>
      <c r="L2" s="33" t="str">
        <f>IF(A2&gt;0,"ТР",0)</f>
        <v>ТР</v>
      </c>
    </row>
    <row r="3" spans="1:12" ht="18.75" customHeight="1">
      <c r="A3" s="119" t="s">
        <v>199</v>
      </c>
      <c r="B3" s="130" t="s">
        <v>200</v>
      </c>
      <c r="C3" s="122">
        <v>5</v>
      </c>
      <c r="D3" s="121">
        <f>900*5</f>
        <v>4500</v>
      </c>
      <c r="E3" s="132" t="s">
        <v>204</v>
      </c>
      <c r="F3" s="30"/>
      <c r="G3" s="30"/>
      <c r="L3" s="33" t="str">
        <f>IF(A3&gt;0,"ТР",0)</f>
        <v>ТР</v>
      </c>
    </row>
    <row r="4" spans="1:12" ht="18.75" customHeight="1">
      <c r="A4" s="119" t="s">
        <v>182</v>
      </c>
      <c r="B4" s="122" t="s">
        <v>185</v>
      </c>
      <c r="C4" s="122">
        <v>1</v>
      </c>
      <c r="D4" s="121">
        <v>19560</v>
      </c>
      <c r="E4" s="125" t="s">
        <v>190</v>
      </c>
      <c r="F4" s="44"/>
      <c r="G4" s="30"/>
      <c r="L4" s="33" t="str">
        <f>IF(A4&gt;0,"ТР",0)</f>
        <v>ТР</v>
      </c>
    </row>
    <row r="5" spans="1:12" ht="18.75" customHeight="1">
      <c r="A5" s="119" t="s">
        <v>183</v>
      </c>
      <c r="B5" s="122" t="s">
        <v>185</v>
      </c>
      <c r="C5" s="122">
        <v>1</v>
      </c>
      <c r="D5" s="121">
        <v>11300</v>
      </c>
      <c r="E5" s="125" t="s">
        <v>191</v>
      </c>
      <c r="F5" s="44"/>
      <c r="G5" s="44"/>
      <c r="K5" s="46"/>
      <c r="L5" s="33" t="str">
        <f>IF(A5&gt;0,"ТР",0)</f>
        <v>ТР</v>
      </c>
    </row>
    <row r="6" spans="1:12" ht="18.75" customHeight="1">
      <c r="A6" s="119" t="s">
        <v>184</v>
      </c>
      <c r="B6" s="120" t="s">
        <v>185</v>
      </c>
      <c r="C6" s="120">
        <v>1</v>
      </c>
      <c r="D6" s="121">
        <v>31134.77</v>
      </c>
      <c r="E6" s="125" t="s">
        <v>192</v>
      </c>
      <c r="F6" s="44"/>
      <c r="G6" s="44"/>
      <c r="K6" s="46"/>
      <c r="L6" s="33" t="str">
        <f>IF(A6&gt;0,"ТР",0)</f>
        <v>ТР</v>
      </c>
    </row>
    <row r="7" spans="1:12" ht="18.75" customHeight="1">
      <c r="A7" s="119" t="s">
        <v>193</v>
      </c>
      <c r="B7" s="120" t="s">
        <v>185</v>
      </c>
      <c r="C7" s="120">
        <v>1</v>
      </c>
      <c r="D7" s="121">
        <v>119108.14</v>
      </c>
      <c r="E7" s="126" t="s">
        <v>194</v>
      </c>
      <c r="F7" s="45"/>
      <c r="G7" s="45"/>
      <c r="K7" s="46"/>
      <c r="L7" s="33" t="str">
        <f t="shared" ref="L7:L22" si="0">IF(A7&gt;0,"ТР",0)</f>
        <v>ТР</v>
      </c>
    </row>
    <row r="8" spans="1:12" ht="18.75" customHeight="1">
      <c r="A8" s="127" t="s">
        <v>195</v>
      </c>
      <c r="B8" s="128" t="s">
        <v>185</v>
      </c>
      <c r="C8" s="42">
        <v>1</v>
      </c>
      <c r="D8" s="43">
        <v>906</v>
      </c>
      <c r="E8" s="129" t="s">
        <v>196</v>
      </c>
      <c r="F8" s="45"/>
      <c r="G8" s="45"/>
      <c r="K8" s="43"/>
      <c r="L8" s="33" t="str">
        <f t="shared" si="0"/>
        <v>ТР</v>
      </c>
    </row>
    <row r="9" spans="1:12">
      <c r="A9" s="44" t="s">
        <v>197</v>
      </c>
      <c r="B9" s="128" t="s">
        <v>185</v>
      </c>
      <c r="C9" s="42">
        <v>1</v>
      </c>
      <c r="D9" s="43">
        <v>2500</v>
      </c>
      <c r="E9" s="129" t="s">
        <v>198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76</v>
      </c>
      <c r="G11" s="112"/>
      <c r="L11" s="33">
        <f t="shared" si="0"/>
        <v>0</v>
      </c>
    </row>
    <row r="12" spans="1:12" ht="31.5">
      <c r="A12" s="30"/>
      <c r="F12" s="113" t="s">
        <v>77</v>
      </c>
      <c r="G12" s="114">
        <v>1200</v>
      </c>
      <c r="L12" s="33">
        <f t="shared" si="0"/>
        <v>0</v>
      </c>
    </row>
    <row r="13" spans="1:12" ht="31.5">
      <c r="A13" s="30"/>
      <c r="F13" s="113" t="s">
        <v>79</v>
      </c>
      <c r="G13" s="114">
        <v>16200</v>
      </c>
      <c r="L13" s="33">
        <f t="shared" si="0"/>
        <v>0</v>
      </c>
    </row>
    <row r="14" spans="1:12" ht="31.5">
      <c r="A14" s="30"/>
      <c r="F14" s="113" t="s">
        <v>201</v>
      </c>
      <c r="G14" s="114">
        <v>10800</v>
      </c>
      <c r="L14" s="33">
        <f t="shared" si="0"/>
        <v>0</v>
      </c>
    </row>
    <row r="15" spans="1:12" ht="31.5">
      <c r="A15" s="30"/>
      <c r="F15" s="113" t="s">
        <v>207</v>
      </c>
      <c r="G15" s="114">
        <v>20000</v>
      </c>
      <c r="L15" s="33">
        <f t="shared" si="0"/>
        <v>0</v>
      </c>
    </row>
    <row r="16" spans="1:12" ht="47.25">
      <c r="A16" s="30"/>
      <c r="F16" s="113" t="s">
        <v>208</v>
      </c>
      <c r="G16" s="115">
        <v>10000</v>
      </c>
      <c r="L16" s="33">
        <f t="shared" si="0"/>
        <v>0</v>
      </c>
    </row>
    <row r="17" spans="1:12" ht="31.5">
      <c r="A17" s="30"/>
      <c r="F17" s="113" t="s">
        <v>205</v>
      </c>
      <c r="G17" s="114">
        <v>4000</v>
      </c>
      <c r="L17" s="33">
        <f t="shared" si="0"/>
        <v>0</v>
      </c>
    </row>
    <row r="18" spans="1:12" ht="31.5">
      <c r="A18" s="30"/>
      <c r="F18" s="133" t="s">
        <v>206</v>
      </c>
      <c r="G18" s="134">
        <v>111000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95065.18</v>
      </c>
      <c r="C39" s="38" t="s">
        <v>67</v>
      </c>
      <c r="D39" s="48">
        <v>7</v>
      </c>
      <c r="E39" s="34"/>
      <c r="J39" s="36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95065.18</v>
      </c>
      <c r="O39" s="40" t="str">
        <f>C39</f>
        <v>Ежемесячно</v>
      </c>
      <c r="P39">
        <f>D39</f>
        <v>7</v>
      </c>
    </row>
    <row r="40" spans="1:16" ht="31.5" customHeight="1">
      <c r="A40" s="37" t="s">
        <v>179</v>
      </c>
      <c r="B40" s="38">
        <v>49888.44</v>
      </c>
      <c r="C40" s="38" t="s">
        <v>67</v>
      </c>
      <c r="D40" s="48">
        <v>7</v>
      </c>
      <c r="E40" s="34"/>
      <c r="J40" s="36"/>
      <c r="L40" s="39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0">
        <f t="shared" ref="N40:N53" si="4">B40</f>
        <v>49888.44</v>
      </c>
      <c r="O40" s="40" t="str">
        <f t="shared" ref="O40:O53" si="5">C40</f>
        <v>Ежемесячно</v>
      </c>
      <c r="P40">
        <f t="shared" ref="P40:P53" si="6">D40</f>
        <v>7</v>
      </c>
    </row>
    <row r="41" spans="1:16" ht="51">
      <c r="A41" s="37" t="s">
        <v>25</v>
      </c>
      <c r="B41" s="38">
        <v>56817.39</v>
      </c>
      <c r="C41" s="38" t="s">
        <v>68</v>
      </c>
      <c r="D41" s="48">
        <v>7</v>
      </c>
      <c r="E41" s="34"/>
      <c r="J41" s="36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56817.39</v>
      </c>
      <c r="O41" s="40" t="str">
        <f t="shared" si="5"/>
        <v>В соответствии с графиком</v>
      </c>
      <c r="P41">
        <f t="shared" si="6"/>
        <v>7</v>
      </c>
    </row>
    <row r="42" spans="1:16" ht="25.5">
      <c r="A42" s="37" t="s">
        <v>22</v>
      </c>
      <c r="B42" s="38">
        <v>32704.63</v>
      </c>
      <c r="C42" s="38" t="s">
        <v>67</v>
      </c>
      <c r="D42" s="48">
        <v>7</v>
      </c>
      <c r="E42" s="34"/>
      <c r="J42" s="36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32704.63</v>
      </c>
      <c r="O42" s="40" t="str">
        <f t="shared" si="5"/>
        <v>Ежемесячно</v>
      </c>
      <c r="P42">
        <f t="shared" si="6"/>
        <v>7</v>
      </c>
    </row>
    <row r="43" spans="1:16" ht="15.75">
      <c r="A43" s="37"/>
      <c r="B43" s="38"/>
      <c r="C43" s="38"/>
      <c r="D43" s="48">
        <v>7</v>
      </c>
      <c r="E43" s="34"/>
      <c r="J43" s="36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7</v>
      </c>
    </row>
    <row r="44" spans="1:16" ht="25.5">
      <c r="A44" s="37" t="s">
        <v>23</v>
      </c>
      <c r="B44" s="38">
        <v>13857.9</v>
      </c>
      <c r="C44" s="38" t="s">
        <v>69</v>
      </c>
      <c r="D44" s="48">
        <v>7</v>
      </c>
      <c r="E44" s="34"/>
      <c r="J44" s="36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13857.9</v>
      </c>
      <c r="O44" s="40" t="str">
        <f t="shared" si="5"/>
        <v>Круглосуточно</v>
      </c>
      <c r="P44">
        <f t="shared" si="6"/>
        <v>7</v>
      </c>
    </row>
    <row r="45" spans="1:16" ht="25.5">
      <c r="A45" s="37" t="s">
        <v>24</v>
      </c>
      <c r="B45" s="38">
        <v>56817.39</v>
      </c>
      <c r="C45" s="38" t="s">
        <v>68</v>
      </c>
      <c r="D45" s="48">
        <v>7</v>
      </c>
      <c r="E45" s="34"/>
      <c r="J45" s="36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56817.39</v>
      </c>
      <c r="O45" s="40" t="str">
        <f t="shared" si="5"/>
        <v>В соответствии с графиком</v>
      </c>
      <c r="P45">
        <f t="shared" si="6"/>
        <v>7</v>
      </c>
    </row>
    <row r="46" spans="1:16">
      <c r="A46" s="37" t="s">
        <v>181</v>
      </c>
      <c r="B46" s="38">
        <v>29101.59</v>
      </c>
      <c r="C46" s="38" t="s">
        <v>67</v>
      </c>
      <c r="D46" s="48">
        <v>7</v>
      </c>
      <c r="L46" s="39" t="str">
        <f t="shared" si="2"/>
        <v>СОД</v>
      </c>
      <c r="M46" t="str">
        <f t="shared" si="3"/>
        <v>Работы по обеспечению пожарной безопасности</v>
      </c>
      <c r="N46" s="40">
        <f t="shared" si="4"/>
        <v>29101.59</v>
      </c>
      <c r="O46" s="40" t="str">
        <f t="shared" si="5"/>
        <v>Ежемесячно</v>
      </c>
      <c r="P46">
        <f t="shared" si="6"/>
        <v>7</v>
      </c>
    </row>
    <row r="47" spans="1:16">
      <c r="A47" s="37" t="s">
        <v>210</v>
      </c>
      <c r="B47" s="31">
        <v>138579</v>
      </c>
      <c r="C47" s="38" t="s">
        <v>67</v>
      </c>
      <c r="D47" s="48">
        <v>7</v>
      </c>
      <c r="L47" s="39" t="str">
        <f t="shared" si="2"/>
        <v>СОД</v>
      </c>
      <c r="M47" t="str">
        <f t="shared" si="3"/>
        <v>Услуги и работы по управлению МКД</v>
      </c>
      <c r="N47" s="40">
        <f t="shared" si="4"/>
        <v>138579</v>
      </c>
      <c r="O47" s="40" t="str">
        <f t="shared" si="5"/>
        <v>Ежемесячно</v>
      </c>
      <c r="P47">
        <f t="shared" si="6"/>
        <v>7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9tK0SM2QoYwBrspE2UL89asoVvbu4ZTdPl11buF1l6exUZOt8G01iYYGl+R6mnyWh0Fw7fGq6mgCm8jUY6/Oqw==" saltValue="U4O1bvAKQt0G9nEyK7DTO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B39" sqref="B39:B4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123" t="s">
        <v>186</v>
      </c>
      <c r="F1" s="123">
        <v>3959.4</v>
      </c>
    </row>
    <row r="2" spans="1:10" ht="15.75" customHeight="1">
      <c r="A2" s="70" t="s">
        <v>86</v>
      </c>
      <c r="B2" s="72" t="s">
        <v>1</v>
      </c>
      <c r="C2" s="83">
        <v>0</v>
      </c>
      <c r="D2" s="81" t="s">
        <v>57</v>
      </c>
      <c r="E2" s="124" t="s">
        <v>187</v>
      </c>
      <c r="F2" s="124" t="s">
        <v>188</v>
      </c>
      <c r="G2" s="61"/>
      <c r="H2" s="61"/>
      <c r="I2" s="61"/>
      <c r="J2" s="61"/>
    </row>
    <row r="3" spans="1:10" ht="15.75" customHeight="1">
      <c r="A3" s="70" t="s">
        <v>87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3</v>
      </c>
      <c r="C4" s="83">
        <v>0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4</v>
      </c>
      <c r="C5" s="79">
        <f>SUM(C6:C8)</f>
        <v>612528.59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5</v>
      </c>
      <c r="C6" s="83">
        <v>335042.96999999997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6</v>
      </c>
      <c r="C7" s="83">
        <f>F1*5*7</f>
        <v>138579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7</v>
      </c>
      <c r="C8" s="83">
        <v>138906.62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8</v>
      </c>
      <c r="C9" s="79">
        <f>SUM(C10:C14)</f>
        <v>61322.62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9</v>
      </c>
      <c r="C10" s="83">
        <v>61322.62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14</v>
      </c>
      <c r="C15" s="79">
        <f>C9</f>
        <v>61322.62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17</v>
      </c>
      <c r="C18" s="79">
        <f>IF(C16&gt;0,0,IF(C4&gt;0,C4+C5-C9,C5-C2-C9))</f>
        <v>551205.97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66"/>
      <c r="N20" s="62"/>
    </row>
    <row r="21" spans="1:15" ht="15.75" customHeight="1">
      <c r="A21" s="70" t="s">
        <v>104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66"/>
      <c r="N21" s="62"/>
    </row>
    <row r="22" spans="1:15" ht="15.75" customHeight="1">
      <c r="A22" s="70" t="s">
        <v>105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66"/>
      <c r="N22" s="62"/>
    </row>
    <row r="23" spans="1:15" ht="15.75" customHeight="1">
      <c r="A23" s="70" t="s">
        <v>106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66"/>
      <c r="N23" s="62"/>
    </row>
    <row r="24" spans="1:15" ht="18.75">
      <c r="A24" s="73" t="s">
        <v>166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65"/>
      <c r="N25" s="63"/>
    </row>
    <row r="26" spans="1:15" ht="18.75" customHeight="1">
      <c r="A26" s="70" t="s">
        <v>108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65"/>
      <c r="N26" s="63"/>
    </row>
    <row r="27" spans="1:15" ht="18.75" customHeight="1">
      <c r="A27" s="70" t="s">
        <v>109</v>
      </c>
      <c r="B27" s="75" t="s">
        <v>3</v>
      </c>
      <c r="C27" s="86">
        <v>0</v>
      </c>
      <c r="D27" s="81" t="s">
        <v>59</v>
      </c>
      <c r="E27" s="64"/>
      <c r="F27" s="64"/>
      <c r="G27" s="64"/>
      <c r="H27" s="64"/>
      <c r="I27" s="64"/>
      <c r="J27" s="64"/>
      <c r="M27" s="165"/>
      <c r="N27" s="63"/>
    </row>
    <row r="28" spans="1:15" ht="18.75" customHeight="1">
      <c r="A28" s="70" t="s">
        <v>110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65"/>
      <c r="N28" s="63"/>
    </row>
    <row r="29" spans="1:15" ht="18.75" customHeight="1">
      <c r="A29" s="70" t="s">
        <v>111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65"/>
      <c r="N29" s="63"/>
    </row>
    <row r="30" spans="1:15" ht="18.75" customHeight="1">
      <c r="A30" s="70" t="s">
        <v>112</v>
      </c>
      <c r="B30" s="75" t="s">
        <v>17</v>
      </c>
      <c r="C30" s="86">
        <v>48397.71</v>
      </c>
      <c r="D30" s="81" t="s">
        <v>65</v>
      </c>
      <c r="E30" s="64"/>
      <c r="F30" s="64"/>
      <c r="G30" s="64"/>
      <c r="H30" s="64"/>
      <c r="I30" s="64"/>
      <c r="J30" s="64"/>
      <c r="M30" s="165"/>
      <c r="N30" s="63"/>
    </row>
    <row r="31" spans="1:15" ht="18.75" customHeight="1">
      <c r="A31" s="70" t="s">
        <v>113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65"/>
      <c r="N31" s="63"/>
    </row>
    <row r="32" spans="1:15" ht="18.75" customHeight="1">
      <c r="A32" s="70" t="s">
        <v>114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65"/>
      <c r="N32" s="63"/>
    </row>
    <row r="33" spans="1:15" ht="18.75" customHeight="1">
      <c r="A33" s="70" t="s">
        <v>115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65"/>
      <c r="N33" s="63"/>
    </row>
    <row r="34" spans="1:15" ht="18.75" customHeight="1">
      <c r="A34" s="70" t="s">
        <v>116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65"/>
      <c r="N34" s="63"/>
    </row>
    <row r="35" spans="1:15" ht="18.75">
      <c r="A35" s="73" t="s">
        <v>167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31626.799999999999</v>
      </c>
      <c r="F37" s="94" t="s">
        <v>171</v>
      </c>
      <c r="G37" s="66"/>
      <c r="H37" s="66"/>
      <c r="I37" s="66"/>
      <c r="L37" s="63"/>
      <c r="M37" s="164"/>
      <c r="N37" s="63"/>
      <c r="O37" s="63"/>
    </row>
    <row r="38" spans="1:15" ht="18.75" customHeight="1">
      <c r="A38" s="70" t="s">
        <v>117</v>
      </c>
      <c r="B38" s="78" t="s">
        <v>36</v>
      </c>
      <c r="C38" s="90">
        <v>28882.92</v>
      </c>
      <c r="D38" s="94" t="s">
        <v>169</v>
      </c>
      <c r="E38" s="68"/>
      <c r="G38" s="67"/>
      <c r="H38" s="67"/>
      <c r="L38" s="63"/>
      <c r="M38" s="164"/>
      <c r="N38" s="63"/>
      <c r="O38" s="63"/>
    </row>
    <row r="39" spans="1:15" ht="18.75" customHeight="1">
      <c r="A39" s="70" t="s">
        <v>118</v>
      </c>
      <c r="B39" s="78" t="s">
        <v>37</v>
      </c>
      <c r="C39" s="91">
        <v>23272.42</v>
      </c>
      <c r="D39" s="94" t="s">
        <v>170</v>
      </c>
      <c r="E39" s="68"/>
      <c r="G39" s="67"/>
      <c r="H39" s="67"/>
      <c r="L39" s="63"/>
      <c r="M39" s="164"/>
      <c r="N39" s="63"/>
      <c r="O39" s="63"/>
    </row>
    <row r="40" spans="1:15" ht="18.75" customHeight="1">
      <c r="A40" s="70" t="s">
        <v>119</v>
      </c>
      <c r="B40" s="78" t="s">
        <v>38</v>
      </c>
      <c r="C40" s="93">
        <f>IF(E37-C39&lt;0,0,E37-C39)</f>
        <v>8354.380000000001</v>
      </c>
      <c r="D40" s="80" t="s">
        <v>58</v>
      </c>
      <c r="E40" s="68"/>
      <c r="G40" s="67"/>
      <c r="H40" s="67"/>
      <c r="L40" s="63"/>
      <c r="M40" s="164"/>
      <c r="N40" s="63"/>
      <c r="O40" s="63"/>
    </row>
    <row r="41" spans="1:15" ht="18.75" customHeight="1">
      <c r="A41" s="70" t="s">
        <v>120</v>
      </c>
      <c r="B41" s="78" t="s">
        <v>39</v>
      </c>
      <c r="C41" s="93">
        <f>E37</f>
        <v>31626.799999999999</v>
      </c>
      <c r="D41" s="80" t="s">
        <v>58</v>
      </c>
      <c r="E41" s="68"/>
      <c r="G41" s="67"/>
      <c r="H41" s="67"/>
      <c r="L41" s="63"/>
      <c r="M41" s="164"/>
      <c r="N41" s="63"/>
      <c r="O41" s="63"/>
    </row>
    <row r="42" spans="1:15" ht="18.75" customHeight="1">
      <c r="A42" s="70" t="s">
        <v>121</v>
      </c>
      <c r="B42" s="78" t="s">
        <v>40</v>
      </c>
      <c r="C42" s="93">
        <f>E37</f>
        <v>31626.799999999999</v>
      </c>
      <c r="D42" s="80" t="s">
        <v>58</v>
      </c>
      <c r="E42" s="68"/>
      <c r="G42" s="67"/>
      <c r="H42" s="67"/>
      <c r="L42" s="63"/>
      <c r="M42" s="164"/>
      <c r="N42" s="63"/>
      <c r="O42" s="63"/>
    </row>
    <row r="43" spans="1:15" ht="18.75" customHeight="1">
      <c r="A43" s="70" t="s">
        <v>122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64"/>
      <c r="N43" s="63"/>
      <c r="O43" s="63"/>
    </row>
    <row r="44" spans="1:15" ht="30" customHeight="1">
      <c r="A44" s="70" t="s">
        <v>123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64"/>
      <c r="N44" s="63"/>
      <c r="O44" s="63"/>
    </row>
    <row r="45" spans="1:15" ht="18.75">
      <c r="A45" s="73" t="s">
        <v>125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20690.13</v>
      </c>
      <c r="F45" s="94" t="s">
        <v>171</v>
      </c>
      <c r="G45" s="66"/>
      <c r="H45" s="66"/>
      <c r="L45" s="63"/>
      <c r="M45" s="164"/>
      <c r="N45" s="63"/>
      <c r="O45" s="63"/>
    </row>
    <row r="46" spans="1:15" ht="18.75" customHeight="1">
      <c r="A46" s="73" t="s">
        <v>126</v>
      </c>
      <c r="B46" s="78" t="s">
        <v>36</v>
      </c>
      <c r="C46" s="90">
        <v>1485.83</v>
      </c>
      <c r="D46" s="94" t="s">
        <v>172</v>
      </c>
      <c r="E46" s="68"/>
      <c r="G46" s="67"/>
      <c r="H46" s="67"/>
      <c r="L46" s="63"/>
      <c r="M46" s="164"/>
      <c r="N46" s="63"/>
      <c r="O46" s="63"/>
    </row>
    <row r="47" spans="1:15" ht="18.75" customHeight="1">
      <c r="A47" s="73" t="s">
        <v>127</v>
      </c>
      <c r="B47" s="78" t="s">
        <v>37</v>
      </c>
      <c r="C47" s="91">
        <v>17317.810000000001</v>
      </c>
      <c r="D47" s="94" t="s">
        <v>170</v>
      </c>
      <c r="E47" s="68"/>
      <c r="G47" s="67"/>
      <c r="H47" s="67"/>
      <c r="L47" s="63"/>
      <c r="M47" s="164"/>
      <c r="N47" s="63"/>
      <c r="O47" s="63"/>
    </row>
    <row r="48" spans="1:15" ht="18.75" customHeight="1">
      <c r="A48" s="73" t="s">
        <v>128</v>
      </c>
      <c r="B48" s="78" t="s">
        <v>38</v>
      </c>
      <c r="C48" s="93">
        <f>IF(E45-C47&lt;0,0,E45-C47)</f>
        <v>3372.3199999999997</v>
      </c>
      <c r="D48" s="80" t="s">
        <v>58</v>
      </c>
      <c r="E48" s="68"/>
      <c r="G48" s="67"/>
      <c r="H48" s="67"/>
      <c r="L48" s="63"/>
      <c r="M48" s="164"/>
      <c r="N48" s="63"/>
      <c r="O48" s="63"/>
    </row>
    <row r="49" spans="1:15" ht="18.75" customHeight="1">
      <c r="A49" s="73" t="s">
        <v>129</v>
      </c>
      <c r="B49" s="78" t="s">
        <v>39</v>
      </c>
      <c r="C49" s="93">
        <f>E45</f>
        <v>20690.13</v>
      </c>
      <c r="D49" s="80" t="s">
        <v>58</v>
      </c>
      <c r="E49" s="68"/>
      <c r="G49" s="67"/>
      <c r="H49" s="67"/>
      <c r="L49" s="63"/>
      <c r="M49" s="164"/>
      <c r="N49" s="63"/>
      <c r="O49" s="63"/>
    </row>
    <row r="50" spans="1:15" ht="18.75" customHeight="1">
      <c r="A50" s="73" t="s">
        <v>130</v>
      </c>
      <c r="B50" s="78" t="s">
        <v>40</v>
      </c>
      <c r="C50" s="93">
        <f>E45</f>
        <v>20690.13</v>
      </c>
      <c r="D50" s="80" t="s">
        <v>58</v>
      </c>
      <c r="E50" s="68"/>
      <c r="G50" s="67"/>
      <c r="H50" s="67"/>
      <c r="L50" s="63"/>
      <c r="M50" s="164"/>
      <c r="N50" s="63"/>
      <c r="O50" s="63"/>
    </row>
    <row r="51" spans="1:15" ht="18.75" customHeight="1">
      <c r="A51" s="73" t="s">
        <v>131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64"/>
      <c r="N51" s="63"/>
      <c r="O51" s="63"/>
    </row>
    <row r="52" spans="1:15" ht="29.25" customHeight="1">
      <c r="A52" s="73" t="s">
        <v>132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64"/>
      <c r="N52" s="63"/>
      <c r="O52" s="63"/>
    </row>
    <row r="53" spans="1:15" ht="18.75">
      <c r="A53" s="73" t="s">
        <v>133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34513.56</v>
      </c>
      <c r="F53" s="94" t="s">
        <v>171</v>
      </c>
      <c r="G53" s="66"/>
      <c r="H53" s="66"/>
      <c r="L53" s="63"/>
      <c r="M53" s="164"/>
      <c r="N53" s="63"/>
      <c r="O53" s="63"/>
    </row>
    <row r="54" spans="1:15" ht="18.75" customHeight="1">
      <c r="A54" s="73" t="s">
        <v>134</v>
      </c>
      <c r="B54" s="75" t="s">
        <v>36</v>
      </c>
      <c r="C54" s="99">
        <v>2313.2399999999998</v>
      </c>
      <c r="D54" s="94" t="s">
        <v>172</v>
      </c>
      <c r="E54" s="69"/>
      <c r="F54" s="89"/>
      <c r="G54" s="64"/>
      <c r="H54" s="64"/>
      <c r="L54" s="63"/>
      <c r="M54" s="164"/>
      <c r="N54" s="63"/>
      <c r="O54" s="63"/>
    </row>
    <row r="55" spans="1:15" ht="18.75" customHeight="1">
      <c r="A55" s="73" t="s">
        <v>135</v>
      </c>
      <c r="B55" s="75" t="s">
        <v>37</v>
      </c>
      <c r="C55" s="86">
        <v>28361.19</v>
      </c>
      <c r="D55" s="94" t="s">
        <v>170</v>
      </c>
      <c r="E55" s="69"/>
      <c r="G55" s="64"/>
      <c r="H55" s="64"/>
      <c r="L55" s="63"/>
      <c r="M55" s="164"/>
      <c r="N55" s="63"/>
      <c r="O55" s="63"/>
    </row>
    <row r="56" spans="1:15" ht="18.75" customHeight="1">
      <c r="A56" s="73" t="s">
        <v>136</v>
      </c>
      <c r="B56" s="75" t="s">
        <v>38</v>
      </c>
      <c r="C56" s="93">
        <f>IF(E53-C55&lt;0,0,E53-C55)</f>
        <v>6152.369999999999</v>
      </c>
      <c r="D56" s="80" t="s">
        <v>58</v>
      </c>
      <c r="E56" s="69"/>
      <c r="G56" s="64"/>
      <c r="H56" s="64"/>
      <c r="L56" s="63"/>
      <c r="M56" s="164"/>
      <c r="N56" s="63"/>
      <c r="O56" s="63"/>
    </row>
    <row r="57" spans="1:15" ht="18.75" customHeight="1">
      <c r="A57" s="73" t="s">
        <v>137</v>
      </c>
      <c r="B57" s="75" t="s">
        <v>39</v>
      </c>
      <c r="C57" s="93">
        <f>E53</f>
        <v>34513.56</v>
      </c>
      <c r="D57" s="80" t="s">
        <v>58</v>
      </c>
      <c r="E57" s="69"/>
      <c r="G57" s="64"/>
      <c r="H57" s="64"/>
      <c r="L57" s="63"/>
      <c r="M57" s="164"/>
      <c r="N57" s="63"/>
      <c r="O57" s="63"/>
    </row>
    <row r="58" spans="1:15" ht="18.75" customHeight="1">
      <c r="A58" s="73" t="s">
        <v>138</v>
      </c>
      <c r="B58" s="75" t="s">
        <v>40</v>
      </c>
      <c r="C58" s="93">
        <f>E53</f>
        <v>34513.56</v>
      </c>
      <c r="D58" s="80" t="s">
        <v>58</v>
      </c>
      <c r="E58" s="69"/>
      <c r="G58" s="64"/>
      <c r="H58" s="64"/>
      <c r="L58" s="63"/>
      <c r="M58" s="164"/>
      <c r="N58" s="63"/>
      <c r="O58" s="63"/>
    </row>
    <row r="59" spans="1:15" ht="18.75" customHeight="1">
      <c r="A59" s="73" t="s">
        <v>139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64"/>
      <c r="N59" s="63"/>
      <c r="O59" s="63"/>
    </row>
    <row r="60" spans="1:15" ht="33.75" customHeight="1">
      <c r="A60" s="73" t="s">
        <v>140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64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54</v>
      </c>
      <c r="E61" s="95">
        <v>100934.34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36</v>
      </c>
      <c r="C62" s="99">
        <v>186.8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37</v>
      </c>
      <c r="C63" s="86">
        <v>72229.42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38</v>
      </c>
      <c r="C64" s="93">
        <f>IF(E61-C63&lt;0,0,E61-C63)</f>
        <v>28704.92</v>
      </c>
      <c r="D64" s="80" t="s">
        <v>58</v>
      </c>
      <c r="E64" s="69"/>
      <c r="G64" s="64"/>
      <c r="H64" s="64"/>
    </row>
    <row r="65" spans="1:8" ht="15.75" customHeight="1">
      <c r="A65" s="73" t="s">
        <v>145</v>
      </c>
      <c r="B65" s="75" t="s">
        <v>39</v>
      </c>
      <c r="C65" s="93">
        <f>E61</f>
        <v>100934.34</v>
      </c>
      <c r="D65" s="80" t="s">
        <v>58</v>
      </c>
      <c r="E65" s="69"/>
      <c r="G65" s="64"/>
      <c r="H65" s="64"/>
    </row>
    <row r="66" spans="1:8" ht="15.75" customHeight="1">
      <c r="A66" s="73" t="s">
        <v>146</v>
      </c>
      <c r="B66" s="75" t="s">
        <v>40</v>
      </c>
      <c r="C66" s="93">
        <f>E61</f>
        <v>100934.34</v>
      </c>
      <c r="D66" s="80" t="s">
        <v>58</v>
      </c>
      <c r="E66" s="69"/>
      <c r="G66" s="64"/>
      <c r="H66" s="64"/>
    </row>
    <row r="67" spans="1:8" ht="15.75" customHeight="1">
      <c r="A67" s="73" t="s">
        <v>147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148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54</v>
      </c>
      <c r="E69" s="95">
        <v>11319.64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36</v>
      </c>
      <c r="C70" s="99">
        <v>812.9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37</v>
      </c>
      <c r="C71" s="86">
        <v>9505.92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38</v>
      </c>
      <c r="C72" s="93">
        <f>IF(E69-C71&lt;0,0,E69-C71)</f>
        <v>1813.7199999999993</v>
      </c>
      <c r="D72" s="80" t="s">
        <v>58</v>
      </c>
      <c r="E72" s="69"/>
      <c r="G72" s="64"/>
      <c r="H72" s="64"/>
    </row>
    <row r="73" spans="1:8" ht="15.75" customHeight="1">
      <c r="A73" s="73" t="s">
        <v>153</v>
      </c>
      <c r="B73" s="75" t="s">
        <v>39</v>
      </c>
      <c r="C73" s="93">
        <f>E69</f>
        <v>11319.64</v>
      </c>
      <c r="D73" s="80" t="s">
        <v>58</v>
      </c>
      <c r="E73" s="69"/>
      <c r="G73" s="64"/>
      <c r="H73" s="64"/>
    </row>
    <row r="74" spans="1:8" ht="15.75" customHeight="1">
      <c r="A74" s="73" t="s">
        <v>154</v>
      </c>
      <c r="B74" s="75" t="s">
        <v>40</v>
      </c>
      <c r="C74" s="93">
        <f>E69</f>
        <v>11319.64</v>
      </c>
      <c r="D74" s="80" t="s">
        <v>58</v>
      </c>
      <c r="E74" s="69"/>
      <c r="G74" s="64"/>
      <c r="H74" s="64"/>
    </row>
    <row r="75" spans="1:8" ht="15.75" customHeight="1">
      <c r="A75" s="73" t="s">
        <v>155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156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36</v>
      </c>
      <c r="C78" s="99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37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161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162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163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164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39" sqref="B39:B4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45</v>
      </c>
      <c r="C3" s="106">
        <v>0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59" t="s">
        <v>46</v>
      </c>
      <c r="C4" s="107">
        <v>0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2020-03-23T00:23:46Z</dcterms:modified>
</cp:coreProperties>
</file>